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630" windowWidth="17895" windowHeight="8850"/>
  </bookViews>
  <sheets>
    <sheet name="TOTAAL" sheetId="1" r:id="rId1"/>
    <sheet name="CULTUUR_" sheetId="2" r:id="rId2"/>
    <sheet name="JEUGD" sheetId="3" r:id="rId3"/>
    <sheet name="MILIEU" sheetId="4" r:id="rId4"/>
    <sheet name="ONTWIKKELINGSSAMENWERKING" sheetId="5" r:id="rId5"/>
    <sheet name="SENIOREN" sheetId="6" r:id="rId6"/>
    <sheet name="SPORT_" sheetId="7" r:id="rId7"/>
    <sheet name="WELZIJN" sheetId="8" r:id="rId8"/>
    <sheet name="punten sport" sheetId="9" r:id="rId9"/>
    <sheet name="punten welzijn en senioren" sheetId="10" r:id="rId10"/>
    <sheet name="punten cultuur" sheetId="11" r:id="rId11"/>
    <sheet name="punten jeugd" sheetId="12" r:id="rId12"/>
  </sheets>
  <calcPr calcId="145621"/>
</workbook>
</file>

<file path=xl/calcChain.xml><?xml version="1.0" encoding="utf-8"?>
<calcChain xmlns="http://schemas.openxmlformats.org/spreadsheetml/2006/main">
  <c r="D21" i="3" l="1"/>
  <c r="D17" i="3"/>
  <c r="D16" i="3"/>
  <c r="D15" i="3"/>
  <c r="O41" i="2"/>
  <c r="O40" i="2"/>
  <c r="O39" i="2"/>
  <c r="O38" i="2"/>
  <c r="O37" i="2"/>
  <c r="O36" i="2"/>
  <c r="D26" i="2"/>
  <c r="D21" i="2"/>
  <c r="D20" i="2"/>
  <c r="D17" i="2"/>
  <c r="D16" i="2"/>
  <c r="D14" i="2"/>
  <c r="E11" i="1"/>
  <c r="E6" i="1"/>
  <c r="E5" i="1"/>
  <c r="E4" i="1"/>
  <c r="E3" i="1"/>
  <c r="E2" i="1"/>
  <c r="E10" i="1"/>
  <c r="C10" i="1"/>
  <c r="Q15" i="2" l="1"/>
  <c r="Q16" i="2"/>
  <c r="Q17" i="2"/>
  <c r="Q18" i="2"/>
  <c r="Q20" i="2"/>
  <c r="Q21" i="2"/>
  <c r="Q22" i="2"/>
  <c r="Q23" i="2"/>
  <c r="Q24" i="2"/>
  <c r="Q25" i="2"/>
  <c r="Q26" i="2"/>
  <c r="Q27" i="2"/>
  <c r="Q28" i="2"/>
  <c r="Q29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85" i="2"/>
  <c r="Q86" i="2"/>
  <c r="Q87" i="2"/>
  <c r="Q88" i="2"/>
  <c r="Q89" i="2"/>
  <c r="Q90" i="2"/>
  <c r="Q4" i="3" l="1"/>
  <c r="Q18" i="3"/>
  <c r="C32" i="3"/>
  <c r="O13" i="3" s="1"/>
  <c r="Q13" i="3" s="1"/>
  <c r="C31" i="3"/>
  <c r="O11" i="3"/>
  <c r="Q11" i="3" s="1"/>
  <c r="O6" i="3"/>
  <c r="Q6" i="3" s="1"/>
  <c r="C27" i="3"/>
  <c r="C28" i="3" s="1"/>
  <c r="O7" i="3" s="1"/>
  <c r="Q7" i="3" s="1"/>
  <c r="C24" i="3"/>
  <c r="O4" i="3" s="1"/>
  <c r="C23" i="3"/>
  <c r="P41" i="2"/>
  <c r="C48" i="2"/>
  <c r="O81" i="2"/>
  <c r="Q81" i="2" s="1"/>
  <c r="C45" i="2"/>
  <c r="O82" i="2" s="1"/>
  <c r="Q82" i="2" s="1"/>
  <c r="C44" i="2"/>
  <c r="O64" i="2"/>
  <c r="Q64" i="2" s="1"/>
  <c r="O65" i="2"/>
  <c r="Q65" i="2" s="1"/>
  <c r="O68" i="2"/>
  <c r="Q68" i="2" s="1"/>
  <c r="O69" i="2"/>
  <c r="Q69" i="2" s="1"/>
  <c r="O72" i="2"/>
  <c r="Q72" i="2" s="1"/>
  <c r="O73" i="2"/>
  <c r="Q73" i="2" s="1"/>
  <c r="O76" i="2"/>
  <c r="Q76" i="2" s="1"/>
  <c r="O51" i="2"/>
  <c r="Q51" i="2" s="1"/>
  <c r="O53" i="2"/>
  <c r="Q53" i="2" s="1"/>
  <c r="O54" i="2"/>
  <c r="Q54" i="2" s="1"/>
  <c r="O55" i="2"/>
  <c r="Q55" i="2" s="1"/>
  <c r="O58" i="2"/>
  <c r="Q58" i="2" s="1"/>
  <c r="O59" i="2"/>
  <c r="Q59" i="2" s="1"/>
  <c r="O61" i="2"/>
  <c r="Q61" i="2" s="1"/>
  <c r="O62" i="2"/>
  <c r="Q62" i="2" s="1"/>
  <c r="O63" i="2"/>
  <c r="Q63" i="2" s="1"/>
  <c r="C41" i="2"/>
  <c r="O77" i="2" s="1"/>
  <c r="Q77" i="2" s="1"/>
  <c r="C40" i="2"/>
  <c r="O32" i="2"/>
  <c r="Q32" i="2" s="1"/>
  <c r="O33" i="2"/>
  <c r="Q33" i="2" s="1"/>
  <c r="C37" i="2"/>
  <c r="O34" i="2" s="1"/>
  <c r="Q34" i="2" s="1"/>
  <c r="C36" i="2"/>
  <c r="C32" i="2"/>
  <c r="C33" i="2" s="1"/>
  <c r="O13" i="2" s="1"/>
  <c r="Q13" i="2" s="1"/>
  <c r="O15" i="3" l="1"/>
  <c r="Q15" i="3" s="1"/>
  <c r="O14" i="3"/>
  <c r="Q14" i="3" s="1"/>
  <c r="O16" i="3"/>
  <c r="Q16" i="3" s="1"/>
  <c r="O10" i="3"/>
  <c r="Q10" i="3" s="1"/>
  <c r="O8" i="3"/>
  <c r="Q8" i="3" s="1"/>
  <c r="O9" i="3"/>
  <c r="Q9" i="3" s="1"/>
  <c r="O80" i="2"/>
  <c r="Q80" i="2" s="1"/>
  <c r="O79" i="2"/>
  <c r="O83" i="2"/>
  <c r="Q83" i="2" s="1"/>
  <c r="O71" i="2"/>
  <c r="Q71" i="2" s="1"/>
  <c r="O60" i="2"/>
  <c r="Q60" i="2" s="1"/>
  <c r="O52" i="2"/>
  <c r="Q52" i="2" s="1"/>
  <c r="O70" i="2"/>
  <c r="Q70" i="2" s="1"/>
  <c r="O57" i="2"/>
  <c r="Q57" i="2" s="1"/>
  <c r="O75" i="2"/>
  <c r="Q75" i="2" s="1"/>
  <c r="O67" i="2"/>
  <c r="Q67" i="2" s="1"/>
  <c r="O50" i="2"/>
  <c r="O56" i="2"/>
  <c r="Q56" i="2" s="1"/>
  <c r="O74" i="2"/>
  <c r="Q74" i="2" s="1"/>
  <c r="O66" i="2"/>
  <c r="Q66" i="2" s="1"/>
  <c r="O31" i="2"/>
  <c r="O3" i="3"/>
  <c r="O4" i="2"/>
  <c r="Q4" i="2" s="1"/>
  <c r="O12" i="2"/>
  <c r="Q12" i="2" s="1"/>
  <c r="O8" i="2"/>
  <c r="Q8" i="2" s="1"/>
  <c r="O11" i="2"/>
  <c r="Q11" i="2" s="1"/>
  <c r="O5" i="2"/>
  <c r="Q5" i="2" s="1"/>
  <c r="O3" i="2"/>
  <c r="O6" i="2"/>
  <c r="Q6" i="2" s="1"/>
  <c r="O7" i="2"/>
  <c r="Q7" i="2" s="1"/>
  <c r="O10" i="2"/>
  <c r="Q10" i="2" s="1"/>
  <c r="O9" i="2"/>
  <c r="Q9" i="2" s="1"/>
  <c r="G4" i="11"/>
  <c r="H4" i="11" s="1"/>
  <c r="G5" i="11"/>
  <c r="H5" i="11" s="1"/>
  <c r="G6" i="11"/>
  <c r="H6" i="11" s="1"/>
  <c r="G7" i="11"/>
  <c r="H7" i="11" s="1"/>
  <c r="G8" i="11"/>
  <c r="H8" i="11" s="1"/>
  <c r="G9" i="11"/>
  <c r="H9" i="11" s="1"/>
  <c r="G10" i="11"/>
  <c r="H10" i="11" s="1"/>
  <c r="G11" i="11"/>
  <c r="H11" i="11" s="1"/>
  <c r="G12" i="11"/>
  <c r="H12" i="11" s="1"/>
  <c r="G14" i="11"/>
  <c r="H14" i="11" s="1"/>
  <c r="G15" i="11"/>
  <c r="H15" i="11" s="1"/>
  <c r="G16" i="11"/>
  <c r="H16" i="11" s="1"/>
  <c r="G70" i="11"/>
  <c r="H70" i="11" s="1"/>
  <c r="G17" i="11"/>
  <c r="H17" i="11" s="1"/>
  <c r="G18" i="11"/>
  <c r="H18" i="11" s="1"/>
  <c r="G19" i="11"/>
  <c r="H19" i="11" s="1"/>
  <c r="G20" i="11"/>
  <c r="H20" i="11" s="1"/>
  <c r="G21" i="11"/>
  <c r="H21" i="11" s="1"/>
  <c r="G22" i="11"/>
  <c r="H22" i="11" s="1"/>
  <c r="G23" i="11"/>
  <c r="H23" i="11" s="1"/>
  <c r="G24" i="11"/>
  <c r="H24" i="11" s="1"/>
  <c r="G25" i="11"/>
  <c r="H25" i="11" s="1"/>
  <c r="G26" i="11"/>
  <c r="H26" i="11" s="1"/>
  <c r="G27" i="11"/>
  <c r="H27" i="11" s="1"/>
  <c r="G28" i="11"/>
  <c r="H28" i="11" s="1"/>
  <c r="G29" i="11"/>
  <c r="H29" i="11" s="1"/>
  <c r="G30" i="11"/>
  <c r="H30" i="11" s="1"/>
  <c r="G31" i="11"/>
  <c r="H31" i="11" s="1"/>
  <c r="G13" i="11"/>
  <c r="H13" i="11" s="1"/>
  <c r="G32" i="11"/>
  <c r="H32" i="11" s="1"/>
  <c r="G33" i="11"/>
  <c r="H33" i="11" s="1"/>
  <c r="G34" i="11"/>
  <c r="H34" i="11" s="1"/>
  <c r="G35" i="11"/>
  <c r="H35" i="11" s="1"/>
  <c r="G36" i="11"/>
  <c r="H36" i="11" s="1"/>
  <c r="G37" i="11"/>
  <c r="H37" i="11" s="1"/>
  <c r="G38" i="11"/>
  <c r="H38" i="11" s="1"/>
  <c r="G39" i="11"/>
  <c r="H39" i="11" s="1"/>
  <c r="G40" i="11"/>
  <c r="H40" i="11" s="1"/>
  <c r="G41" i="11"/>
  <c r="H41" i="11" s="1"/>
  <c r="G42" i="11"/>
  <c r="H42" i="11" s="1"/>
  <c r="G43" i="11"/>
  <c r="H43" i="11" s="1"/>
  <c r="G44" i="11"/>
  <c r="H44" i="11" s="1"/>
  <c r="G45" i="11"/>
  <c r="H45" i="11" s="1"/>
  <c r="G46" i="11"/>
  <c r="H46" i="11" s="1"/>
  <c r="G47" i="11"/>
  <c r="H47" i="11" s="1"/>
  <c r="G48" i="11"/>
  <c r="H48" i="11" s="1"/>
  <c r="G49" i="11"/>
  <c r="H49" i="11" s="1"/>
  <c r="G50" i="11"/>
  <c r="H50" i="11" s="1"/>
  <c r="G51" i="11"/>
  <c r="H51" i="11" s="1"/>
  <c r="G52" i="11"/>
  <c r="H52" i="11" s="1"/>
  <c r="G53" i="11"/>
  <c r="H53" i="11" s="1"/>
  <c r="G54" i="11"/>
  <c r="H54" i="11" s="1"/>
  <c r="G55" i="11"/>
  <c r="H55" i="11" s="1"/>
  <c r="G56" i="11"/>
  <c r="H56" i="11" s="1"/>
  <c r="G57" i="11"/>
  <c r="H57" i="11" s="1"/>
  <c r="G58" i="11"/>
  <c r="H58" i="11" s="1"/>
  <c r="G59" i="11"/>
  <c r="H59" i="11" s="1"/>
  <c r="G60" i="11"/>
  <c r="H60" i="11" s="1"/>
  <c r="G61" i="11"/>
  <c r="H61" i="11" s="1"/>
  <c r="G62" i="11"/>
  <c r="H62" i="11" s="1"/>
  <c r="G63" i="11"/>
  <c r="H63" i="11" s="1"/>
  <c r="G64" i="11"/>
  <c r="H64" i="11" s="1"/>
  <c r="G65" i="11"/>
  <c r="H65" i="11" s="1"/>
  <c r="G66" i="11"/>
  <c r="H66" i="11" s="1"/>
  <c r="G67" i="11"/>
  <c r="H67" i="11" s="1"/>
  <c r="G68" i="11"/>
  <c r="H68" i="11" s="1"/>
  <c r="G69" i="11"/>
  <c r="H69" i="11" s="1"/>
  <c r="G71" i="11"/>
  <c r="H71" i="11" s="1"/>
  <c r="G72" i="11"/>
  <c r="H72" i="11" s="1"/>
  <c r="G73" i="11"/>
  <c r="H73" i="11" s="1"/>
  <c r="G74" i="11"/>
  <c r="H74" i="11" s="1"/>
  <c r="G75" i="11"/>
  <c r="H75" i="11" s="1"/>
  <c r="G76" i="11"/>
  <c r="H76" i="11" s="1"/>
  <c r="G77" i="11"/>
  <c r="H77" i="11" s="1"/>
  <c r="G78" i="11"/>
  <c r="H78" i="11" s="1"/>
  <c r="G79" i="11"/>
  <c r="H79" i="11" s="1"/>
  <c r="G80" i="11"/>
  <c r="H80" i="11" s="1"/>
  <c r="G81" i="11"/>
  <c r="H81" i="11" s="1"/>
  <c r="G3" i="11"/>
  <c r="H3" i="11" s="1"/>
  <c r="Q3" i="3" l="1"/>
  <c r="O20" i="3"/>
  <c r="Q20" i="3" s="1"/>
  <c r="Q79" i="2"/>
  <c r="P83" i="2"/>
  <c r="Q50" i="2"/>
  <c r="P76" i="2"/>
  <c r="Q31" i="2"/>
  <c r="P34" i="2"/>
  <c r="Q3" i="2"/>
  <c r="Q93" i="2" s="1"/>
  <c r="O93" i="2"/>
  <c r="P13" i="2"/>
  <c r="M62" i="7"/>
  <c r="C18" i="6"/>
  <c r="O10" i="6" s="1"/>
  <c r="Q10" i="6" s="1"/>
  <c r="K12" i="6"/>
  <c r="K20" i="8"/>
  <c r="O8" i="8"/>
  <c r="Q8" i="8" s="1"/>
  <c r="O10" i="8"/>
  <c r="Q10" i="8" s="1"/>
  <c r="O16" i="8"/>
  <c r="Q16" i="8" s="1"/>
  <c r="O18" i="8"/>
  <c r="Q18" i="8" s="1"/>
  <c r="C18" i="8"/>
  <c r="O11" i="8" s="1"/>
  <c r="Q11" i="8" s="1"/>
  <c r="M19" i="8"/>
  <c r="M11" i="6"/>
  <c r="O7" i="6"/>
  <c r="Q7" i="6" s="1"/>
  <c r="O8" i="6"/>
  <c r="Q8" i="6" s="1"/>
  <c r="O9" i="6"/>
  <c r="Q9" i="6" s="1"/>
  <c r="O3" i="6"/>
  <c r="Q3" i="6" s="1"/>
  <c r="F18" i="10"/>
  <c r="F19" i="10"/>
  <c r="F22" i="10"/>
  <c r="F23" i="10"/>
  <c r="E16" i="10"/>
  <c r="F16" i="10" s="1"/>
  <c r="E17" i="10"/>
  <c r="F17" i="10" s="1"/>
  <c r="E18" i="10"/>
  <c r="E19" i="10"/>
  <c r="E20" i="10"/>
  <c r="F20" i="10" s="1"/>
  <c r="E21" i="10"/>
  <c r="F21" i="10" s="1"/>
  <c r="E22" i="10"/>
  <c r="E23" i="10"/>
  <c r="E15" i="10"/>
  <c r="F15" i="10" s="1"/>
  <c r="F24" i="10" s="1"/>
  <c r="F5" i="10"/>
  <c r="F6" i="10"/>
  <c r="F9" i="10"/>
  <c r="F10" i="10"/>
  <c r="E4" i="10"/>
  <c r="F4" i="10" s="1"/>
  <c r="E5" i="10"/>
  <c r="E6" i="10"/>
  <c r="E7" i="10"/>
  <c r="F7" i="10" s="1"/>
  <c r="E8" i="10"/>
  <c r="F8" i="10" s="1"/>
  <c r="E9" i="10"/>
  <c r="E10" i="10"/>
  <c r="E3" i="10"/>
  <c r="F3" i="10" s="1"/>
  <c r="O37" i="7"/>
  <c r="Q37" i="7" s="1"/>
  <c r="O41" i="7"/>
  <c r="Q41" i="7" s="1"/>
  <c r="O45" i="7"/>
  <c r="Q45" i="7" s="1"/>
  <c r="O49" i="7"/>
  <c r="Q49" i="7" s="1"/>
  <c r="O53" i="7"/>
  <c r="Q53" i="7" s="1"/>
  <c r="O57" i="7"/>
  <c r="Q57" i="7" s="1"/>
  <c r="O61" i="7"/>
  <c r="Q61" i="7" s="1"/>
  <c r="O24" i="7"/>
  <c r="Q24" i="7" s="1"/>
  <c r="O28" i="7"/>
  <c r="Q28" i="7" s="1"/>
  <c r="O32" i="7"/>
  <c r="Q32" i="7" s="1"/>
  <c r="O36" i="7"/>
  <c r="Q36" i="7" s="1"/>
  <c r="O7" i="7"/>
  <c r="Q7" i="7" s="1"/>
  <c r="O11" i="7"/>
  <c r="Q11" i="7" s="1"/>
  <c r="O15" i="7"/>
  <c r="Q15" i="7" s="1"/>
  <c r="O19" i="7"/>
  <c r="Q19" i="7" s="1"/>
  <c r="C19" i="7"/>
  <c r="O42" i="7" s="1"/>
  <c r="Q42" i="7" s="1"/>
  <c r="D4" i="9"/>
  <c r="E4" i="9"/>
  <c r="F4" i="9"/>
  <c r="D8" i="9"/>
  <c r="E8" i="9"/>
  <c r="F8" i="9"/>
  <c r="D13" i="9"/>
  <c r="E13" i="9"/>
  <c r="F13" i="9"/>
  <c r="D14" i="9"/>
  <c r="E14" i="9"/>
  <c r="F14" i="9"/>
  <c r="D15" i="9"/>
  <c r="G15" i="9"/>
  <c r="D17" i="9"/>
  <c r="E17" i="9"/>
  <c r="F17" i="9"/>
  <c r="D18" i="9"/>
  <c r="G18" i="9" s="1"/>
  <c r="E18" i="9"/>
  <c r="F18" i="9"/>
  <c r="D19" i="9"/>
  <c r="E19" i="9"/>
  <c r="F19" i="9"/>
  <c r="D23" i="9"/>
  <c r="E23" i="9"/>
  <c r="F23" i="9"/>
  <c r="D25" i="9"/>
  <c r="E25" i="9"/>
  <c r="D27" i="9"/>
  <c r="E27" i="9"/>
  <c r="F27" i="9"/>
  <c r="D28" i="9"/>
  <c r="E28" i="9"/>
  <c r="F28" i="9"/>
  <c r="D29" i="9"/>
  <c r="E29" i="9"/>
  <c r="F29" i="9"/>
  <c r="D30" i="9"/>
  <c r="E30" i="9"/>
  <c r="F30" i="9"/>
  <c r="D31" i="9"/>
  <c r="E31" i="9"/>
  <c r="F31" i="9"/>
  <c r="D32" i="9"/>
  <c r="E32" i="9"/>
  <c r="F32" i="9"/>
  <c r="D33" i="9"/>
  <c r="E33" i="9"/>
  <c r="F33" i="9"/>
  <c r="D34" i="9"/>
  <c r="G34" i="9" s="1"/>
  <c r="D35" i="9"/>
  <c r="E35" i="9"/>
  <c r="F35" i="9"/>
  <c r="D38" i="9"/>
  <c r="E38" i="9"/>
  <c r="F38" i="9"/>
  <c r="D39" i="9"/>
  <c r="E39" i="9"/>
  <c r="F39" i="9"/>
  <c r="D42" i="9"/>
  <c r="E42" i="9"/>
  <c r="F42" i="9"/>
  <c r="D43" i="9"/>
  <c r="E43" i="9"/>
  <c r="F43" i="9"/>
  <c r="D44" i="9"/>
  <c r="E44" i="9"/>
  <c r="F44" i="9"/>
  <c r="D45" i="9"/>
  <c r="E45" i="9"/>
  <c r="F45" i="9"/>
  <c r="D46" i="9"/>
  <c r="E46" i="9"/>
  <c r="F46" i="9"/>
  <c r="D49" i="9"/>
  <c r="E49" i="9"/>
  <c r="F49" i="9"/>
  <c r="D51" i="9"/>
  <c r="E51" i="9"/>
  <c r="F51" i="9"/>
  <c r="D52" i="9"/>
  <c r="E52" i="9"/>
  <c r="F52" i="9"/>
  <c r="D53" i="9"/>
  <c r="E53" i="9"/>
  <c r="F53" i="9"/>
  <c r="D55" i="9"/>
  <c r="E55" i="9"/>
  <c r="F55" i="9"/>
  <c r="D57" i="9"/>
  <c r="E57" i="9"/>
  <c r="F57" i="9"/>
  <c r="E59" i="9"/>
  <c r="F59" i="9"/>
  <c r="D61" i="9"/>
  <c r="E61" i="9"/>
  <c r="F61" i="9"/>
  <c r="O17" i="8" l="1"/>
  <c r="Q17" i="8" s="1"/>
  <c r="O9" i="8"/>
  <c r="Q9" i="8" s="1"/>
  <c r="O15" i="8"/>
  <c r="Q15" i="8" s="1"/>
  <c r="O7" i="8"/>
  <c r="Q7" i="8" s="1"/>
  <c r="O14" i="8"/>
  <c r="Q14" i="8" s="1"/>
  <c r="O6" i="8"/>
  <c r="Q6" i="8" s="1"/>
  <c r="O13" i="8"/>
  <c r="Q13" i="8" s="1"/>
  <c r="O5" i="8"/>
  <c r="Q5" i="8" s="1"/>
  <c r="O12" i="8"/>
  <c r="Q12" i="8" s="1"/>
  <c r="O4" i="8"/>
  <c r="Q4" i="8" s="1"/>
  <c r="O3" i="8"/>
  <c r="O14" i="7"/>
  <c r="Q14" i="7" s="1"/>
  <c r="O6" i="7"/>
  <c r="Q6" i="7" s="1"/>
  <c r="O31" i="7"/>
  <c r="Q31" i="7" s="1"/>
  <c r="O23" i="7"/>
  <c r="Q23" i="7" s="1"/>
  <c r="O56" i="7"/>
  <c r="Q56" i="7" s="1"/>
  <c r="O48" i="7"/>
  <c r="Q48" i="7" s="1"/>
  <c r="O40" i="7"/>
  <c r="Q40" i="7" s="1"/>
  <c r="O3" i="7"/>
  <c r="O13" i="7"/>
  <c r="Q13" i="7" s="1"/>
  <c r="O5" i="7"/>
  <c r="Q5" i="7" s="1"/>
  <c r="O30" i="7"/>
  <c r="Q30" i="7" s="1"/>
  <c r="O22" i="7"/>
  <c r="Q22" i="7" s="1"/>
  <c r="O55" i="7"/>
  <c r="Q55" i="7" s="1"/>
  <c r="O47" i="7"/>
  <c r="Q47" i="7" s="1"/>
  <c r="O39" i="7"/>
  <c r="Q39" i="7" s="1"/>
  <c r="O20" i="7"/>
  <c r="Q20" i="7" s="1"/>
  <c r="O12" i="7"/>
  <c r="Q12" i="7" s="1"/>
  <c r="O4" i="7"/>
  <c r="Q4" i="7" s="1"/>
  <c r="O29" i="7"/>
  <c r="Q29" i="7" s="1"/>
  <c r="O21" i="7"/>
  <c r="Q21" i="7" s="1"/>
  <c r="O54" i="7"/>
  <c r="Q54" i="7" s="1"/>
  <c r="O46" i="7"/>
  <c r="Q46" i="7" s="1"/>
  <c r="O38" i="7"/>
  <c r="Q38" i="7" s="1"/>
  <c r="O18" i="7"/>
  <c r="Q18" i="7" s="1"/>
  <c r="O10" i="7"/>
  <c r="Q10" i="7" s="1"/>
  <c r="O35" i="7"/>
  <c r="Q35" i="7" s="1"/>
  <c r="O27" i="7"/>
  <c r="Q27" i="7" s="1"/>
  <c r="O60" i="7"/>
  <c r="Q60" i="7" s="1"/>
  <c r="O52" i="7"/>
  <c r="Q52" i="7" s="1"/>
  <c r="O44" i="7"/>
  <c r="Q44" i="7" s="1"/>
  <c r="O17" i="7"/>
  <c r="Q17" i="7" s="1"/>
  <c r="O9" i="7"/>
  <c r="Q9" i="7" s="1"/>
  <c r="O34" i="7"/>
  <c r="Q34" i="7" s="1"/>
  <c r="O26" i="7"/>
  <c r="Q26" i="7" s="1"/>
  <c r="O59" i="7"/>
  <c r="Q59" i="7" s="1"/>
  <c r="O51" i="7"/>
  <c r="Q51" i="7" s="1"/>
  <c r="O43" i="7"/>
  <c r="Q43" i="7" s="1"/>
  <c r="O16" i="7"/>
  <c r="Q16" i="7" s="1"/>
  <c r="O8" i="7"/>
  <c r="Q8" i="7" s="1"/>
  <c r="O33" i="7"/>
  <c r="Q33" i="7" s="1"/>
  <c r="O25" i="7"/>
  <c r="Q25" i="7" s="1"/>
  <c r="O58" i="7"/>
  <c r="Q58" i="7" s="1"/>
  <c r="O50" i="7"/>
  <c r="Q50" i="7" s="1"/>
  <c r="O6" i="6"/>
  <c r="Q6" i="6" s="1"/>
  <c r="O5" i="6"/>
  <c r="Q5" i="6" s="1"/>
  <c r="O4" i="6"/>
  <c r="Q4" i="6" s="1"/>
  <c r="Q12" i="6" s="1"/>
  <c r="F11" i="10"/>
  <c r="G14" i="9"/>
  <c r="G8" i="9"/>
  <c r="G57" i="9"/>
  <c r="G35" i="9"/>
  <c r="G31" i="9"/>
  <c r="G27" i="9"/>
  <c r="G44" i="9"/>
  <c r="G29" i="9"/>
  <c r="G53" i="9"/>
  <c r="G30" i="9"/>
  <c r="G13" i="9"/>
  <c r="G49" i="9"/>
  <c r="G42" i="9"/>
  <c r="G19" i="9"/>
  <c r="G4" i="9"/>
  <c r="G61" i="9"/>
  <c r="G46" i="9"/>
  <c r="G51" i="9"/>
  <c r="G38" i="9"/>
  <c r="G33" i="9"/>
  <c r="G23" i="9"/>
  <c r="G52" i="9"/>
  <c r="G25" i="9"/>
  <c r="G55" i="9"/>
  <c r="G59" i="9"/>
  <c r="G28" i="9"/>
  <c r="G39" i="9"/>
  <c r="G32" i="9"/>
  <c r="G43" i="9"/>
  <c r="G45" i="9"/>
  <c r="G17" i="9"/>
  <c r="G5" i="1"/>
  <c r="G6" i="1"/>
  <c r="G7" i="1"/>
  <c r="G8" i="1"/>
  <c r="G3" i="1"/>
  <c r="G4" i="1"/>
  <c r="K63" i="7"/>
  <c r="K93" i="2"/>
  <c r="G2" i="1"/>
  <c r="O20" i="8" l="1"/>
  <c r="Q3" i="8"/>
  <c r="Q20" i="8" s="1"/>
  <c r="Q3" i="7"/>
  <c r="O63" i="7"/>
  <c r="Q63" i="7" s="1"/>
  <c r="O12" i="6"/>
  <c r="G63" i="9"/>
</calcChain>
</file>

<file path=xl/sharedStrings.xml><?xml version="1.0" encoding="utf-8"?>
<sst xmlns="http://schemas.openxmlformats.org/spreadsheetml/2006/main" count="1186" uniqueCount="299">
  <si>
    <t xml:space="preserve">BASISBEDRAG </t>
  </si>
  <si>
    <t xml:space="preserve">RESTBEDRAG </t>
  </si>
  <si>
    <t>TOTAAL BEDRAG</t>
  </si>
  <si>
    <t>SENIOREN</t>
  </si>
  <si>
    <t>WELZIJN</t>
  </si>
  <si>
    <t xml:space="preserve">CULTUUR </t>
  </si>
  <si>
    <t>SPORT</t>
  </si>
  <si>
    <t>JEUGD</t>
  </si>
  <si>
    <t>GROS</t>
  </si>
  <si>
    <t>MILIEU</t>
  </si>
  <si>
    <t xml:space="preserve">TOTAAL BEDRAG </t>
  </si>
  <si>
    <t>Subsidiebedrag</t>
  </si>
  <si>
    <t>%</t>
  </si>
  <si>
    <t>Subsidiebedrag zonder GROS</t>
  </si>
  <si>
    <t xml:space="preserve">SECTOR </t>
  </si>
  <si>
    <t>SUBSECTOR</t>
  </si>
  <si>
    <t>NAAM</t>
  </si>
  <si>
    <t>BASISBEDRAG</t>
  </si>
  <si>
    <t>Cultuur</t>
  </si>
  <si>
    <t>amateurkunsten</t>
  </si>
  <si>
    <t>Fotoclub ScherpZicht</t>
  </si>
  <si>
    <t>Het Penseel</t>
  </si>
  <si>
    <t>Kunstkring 'De Regenboog'</t>
  </si>
  <si>
    <t>Monmartre</t>
  </si>
  <si>
    <t>Popkoor Vocalicious</t>
  </si>
  <si>
    <t>Spionaise VZW</t>
  </si>
  <si>
    <t xml:space="preserve">Theater Amuze </t>
  </si>
  <si>
    <t xml:space="preserve">Totaal </t>
  </si>
  <si>
    <t>Toneel Sint Pieter Testelt</t>
  </si>
  <si>
    <t>buurtcomité</t>
  </si>
  <si>
    <t>Buurtwerking Vossenberg</t>
  </si>
  <si>
    <t>Den Engelenberg Feest</t>
  </si>
  <si>
    <t>CULTUUR</t>
  </si>
  <si>
    <t xml:space="preserve">Amateurkunsten </t>
  </si>
  <si>
    <t>cultuur</t>
  </si>
  <si>
    <t>Het Vogeltjescomité</t>
  </si>
  <si>
    <t xml:space="preserve">Evenementen </t>
  </si>
  <si>
    <t>Slangenbergcomité</t>
  </si>
  <si>
    <t xml:space="preserve">Erfgoed </t>
  </si>
  <si>
    <t>Vriendenkring Testelt</t>
  </si>
  <si>
    <t xml:space="preserve">Vaderlandslievende verenigingen </t>
  </si>
  <si>
    <t>carnaval</t>
  </si>
  <si>
    <t xml:space="preserve"> CV De Bezembinders</t>
  </si>
  <si>
    <t>Carnaval</t>
  </si>
  <si>
    <t>CV adfundum Scherpenheuvel</t>
  </si>
  <si>
    <t>Socio-cultureel</t>
  </si>
  <si>
    <t>CV Centrum Scherpenheuvel</t>
  </si>
  <si>
    <t>Harmonieën en fanfares</t>
  </si>
  <si>
    <t xml:space="preserve">CV De Lustige Hanekappers </t>
  </si>
  <si>
    <t>Buurtcomités</t>
  </si>
  <si>
    <t>CV De Noppers</t>
  </si>
  <si>
    <t>Oudercomités</t>
  </si>
  <si>
    <t>Cv De Rikskes</t>
  </si>
  <si>
    <t>CV De Zichemse carnavalsvrienden vzw</t>
  </si>
  <si>
    <t>CV Halfweg</t>
  </si>
  <si>
    <t xml:space="preserve">CV PartyChekers </t>
  </si>
  <si>
    <t xml:space="preserve">CV Sus &amp; Klus </t>
  </si>
  <si>
    <t>erfgoed</t>
  </si>
  <si>
    <t>De Maagdentoren vzw</t>
  </si>
  <si>
    <t>Erfgoed Scherpenheuvel vzw</t>
  </si>
  <si>
    <t>Heemkring Averbode vzw</t>
  </si>
  <si>
    <t>t Land van Sichem</t>
  </si>
  <si>
    <t>De Noenemannen</t>
  </si>
  <si>
    <t>Fanfare Sint-Michiel Messelbroek</t>
  </si>
  <si>
    <t>Koninklijke Fanfare De Eendracht Okselaar vzw</t>
  </si>
  <si>
    <t>Koninklijke Fanfare De Sint-Jansvrienden</t>
  </si>
  <si>
    <t>Koninklijke Harmonie Sint-Cecilia 'De Heren van Zichem'</t>
  </si>
  <si>
    <t>Konlinklijke Fanfare Strijd naar Eendracht vzw</t>
  </si>
  <si>
    <t>Konlinklijke Harmonie Onze-Lieve-Vrouw Scherpenheuvel</t>
  </si>
  <si>
    <t>oudercomité</t>
  </si>
  <si>
    <t>oudercomite St-Jozefschool Schoonderbuken</t>
  </si>
  <si>
    <t>Oudercomité 't Belhameltje Keiberg</t>
  </si>
  <si>
    <t>Oudercomité 't Karakolleke</t>
  </si>
  <si>
    <t xml:space="preserve">Ouderraad Ons Wereldje </t>
  </si>
  <si>
    <t>Ouderraad Onze-Lieve-Vrouw Basisschool Scherpenheuvel</t>
  </si>
  <si>
    <t>Oudervereniging 't Stokpaardje Zichem</t>
  </si>
  <si>
    <t>socio</t>
  </si>
  <si>
    <t>De Blauwe Lotus</t>
  </si>
  <si>
    <t>Femma Keiberg</t>
  </si>
  <si>
    <t>Femma Okselaar</t>
  </si>
  <si>
    <t>Femma Scherpenheuvel</t>
  </si>
  <si>
    <t>Femmalicious Averbode</t>
  </si>
  <si>
    <t>Fuchsiaclub Het Sint-Jan's Belleke</t>
  </si>
  <si>
    <t>Geire Bij</t>
  </si>
  <si>
    <t>Gezinsbond Averbode-Zichem</t>
  </si>
  <si>
    <t>Gezinsbond Messelbroek</t>
  </si>
  <si>
    <t>Gezinsbond Testelt</t>
  </si>
  <si>
    <t>Hobbyclub Messelbroek</t>
  </si>
  <si>
    <t>KVLV Schoonderbuken</t>
  </si>
  <si>
    <t>KWB Keiberg</t>
  </si>
  <si>
    <t>KWB Okselaar</t>
  </si>
  <si>
    <t>KWB Scherpenheuvel</t>
  </si>
  <si>
    <t>KWB Schoonderbuken</t>
  </si>
  <si>
    <t>KWB Zichem</t>
  </si>
  <si>
    <t>Landelijke Gilde Testelt</t>
  </si>
  <si>
    <t>Markant Averbode</t>
  </si>
  <si>
    <t>Markant Scherpenheuvel</t>
  </si>
  <si>
    <t>vaderlandslievende</t>
  </si>
  <si>
    <t>KNVI</t>
  </si>
  <si>
    <t>Vaderlandslievende</t>
  </si>
  <si>
    <t>Koninklijk Verbond Leopold III</t>
  </si>
  <si>
    <t>NSB Okselaar</t>
  </si>
  <si>
    <t>NSB Scherpenheuvel</t>
  </si>
  <si>
    <t>NSB Zichem</t>
  </si>
  <si>
    <t>welzijn</t>
  </si>
  <si>
    <t>Kruidenvrouw vzw</t>
  </si>
  <si>
    <t>Casker of Mullach</t>
  </si>
  <si>
    <t>Curieus SZ</t>
  </si>
  <si>
    <t>De Edelweiss Vrienden</t>
  </si>
  <si>
    <t>Grapestone vzw</t>
  </si>
  <si>
    <t>Lolands vzw</t>
  </si>
  <si>
    <t>Pasar Scherpenheuvel-Zichem</t>
  </si>
  <si>
    <t>Ruilclub Champagne Capsules 't Klaverke</t>
  </si>
  <si>
    <t>The Fallen Angels Gaming Club vzw</t>
  </si>
  <si>
    <t>TWS Radioamateur club</t>
  </si>
  <si>
    <t xml:space="preserve">vzw Sharp Events </t>
  </si>
  <si>
    <t xml:space="preserve">cultuur </t>
  </si>
  <si>
    <t>Landelijke Gilde Scherpenheuvel</t>
  </si>
  <si>
    <t>jeugd</t>
  </si>
  <si>
    <t>Jeugd</t>
  </si>
  <si>
    <t>Chiro Okselaar</t>
  </si>
  <si>
    <t>KLJ Keiberg</t>
  </si>
  <si>
    <t>KSA Scherpenheuvel</t>
  </si>
  <si>
    <t xml:space="preserve">Jeugdverenigingen </t>
  </si>
  <si>
    <t>Scouts Averbode</t>
  </si>
  <si>
    <t>Jeugdhuizen</t>
  </si>
  <si>
    <t>Testeltse Jeugdband</t>
  </si>
  <si>
    <t>Kunst&amp;Jeugd</t>
  </si>
  <si>
    <t xml:space="preserve">vzw Lokaal </t>
  </si>
  <si>
    <t>milieu</t>
  </si>
  <si>
    <t>Natuurpunt Scherpenheuvel</t>
  </si>
  <si>
    <t>Transitie</t>
  </si>
  <si>
    <t>Ontwikkelingssamenwerking</t>
  </si>
  <si>
    <t>Mama Lufumu vzw</t>
  </si>
  <si>
    <t>Sawallah</t>
  </si>
  <si>
    <t>ontwikkelingssamenwerking</t>
  </si>
  <si>
    <t>Missiecomité Guatemala</t>
  </si>
  <si>
    <t xml:space="preserve">Missiehulp De Filippijnen </t>
  </si>
  <si>
    <t xml:space="preserve">Wervel </t>
  </si>
  <si>
    <t xml:space="preserve">Amava </t>
  </si>
  <si>
    <t xml:space="preserve">Oxfam </t>
  </si>
  <si>
    <t xml:space="preserve">Geen extra te verdelen </t>
  </si>
  <si>
    <t>senioren</t>
  </si>
  <si>
    <t>Neos</t>
  </si>
  <si>
    <t>Senioren</t>
  </si>
  <si>
    <t>OKRA Averbode</t>
  </si>
  <si>
    <t>OKRA Keiberg</t>
  </si>
  <si>
    <t>OKRA Okselaar</t>
  </si>
  <si>
    <t>OKRA Scherpenheuvel</t>
  </si>
  <si>
    <t>OKRA Schoonderbuken</t>
  </si>
  <si>
    <t>OKRA Testelt</t>
  </si>
  <si>
    <t>OKRA Zichem</t>
  </si>
  <si>
    <t>Sport</t>
  </si>
  <si>
    <t>dans</t>
  </si>
  <si>
    <t>Countryclub Safari</t>
  </si>
  <si>
    <t>sport</t>
  </si>
  <si>
    <t>Dansclub Optimi vzw</t>
  </si>
  <si>
    <t xml:space="preserve">Lazy Boots Countrydancers </t>
  </si>
  <si>
    <t>dieren</t>
  </si>
  <si>
    <t>Bukenruiters Schoonderbuken</t>
  </si>
  <si>
    <t>De Gouden Jachthoorn vzw</t>
  </si>
  <si>
    <t>De snoekers</t>
  </si>
  <si>
    <t>Hondenvrienden Scherpenheuvel</t>
  </si>
  <si>
    <t xml:space="preserve">Visclub De Suskes </t>
  </si>
  <si>
    <t>duiven</t>
  </si>
  <si>
    <t>Duivenbond De Jonge liefhebbers Testelt</t>
  </si>
  <si>
    <t>Verenigde Vrienden (Duivenbond)</t>
  </si>
  <si>
    <t>gevechtssport</t>
  </si>
  <si>
    <t>Judoclub Schoonderbuken</t>
  </si>
  <si>
    <t xml:space="preserve">Kani Ushi Karateclub </t>
  </si>
  <si>
    <t>Keumgang Scherpenheuvel</t>
  </si>
  <si>
    <t>Kokoro Aikido Dojo</t>
  </si>
  <si>
    <t>Line-Up</t>
  </si>
  <si>
    <t>Shinzodojo</t>
  </si>
  <si>
    <t>Shotokan Karateclub Messelbroek vzw</t>
  </si>
  <si>
    <t xml:space="preserve">Yonhon jujitsu fusegi Ryu </t>
  </si>
  <si>
    <t>vissen</t>
  </si>
  <si>
    <t>Visclub Ter Elzen</t>
  </si>
  <si>
    <t>voetbal</t>
  </si>
  <si>
    <t>Belspa Ajax</t>
  </si>
  <si>
    <t>BOCA Juniors 91 Zichem</t>
  </si>
  <si>
    <t>FC Averbode Okselaar vzw</t>
  </si>
  <si>
    <t xml:space="preserve">FC De Lachers </t>
  </si>
  <si>
    <t>FC Scouts Testelt</t>
  </si>
  <si>
    <t>FC Wit-Blauw Scherpenheuvel</t>
  </si>
  <si>
    <t>HO Testelt vzw</t>
  </si>
  <si>
    <t>KMJ FC Zichem</t>
  </si>
  <si>
    <t>KVV Scherpenheuvel Sport</t>
  </si>
  <si>
    <t>SNA Keiberg vzw</t>
  </si>
  <si>
    <t>VC Sportwereld Averbode</t>
  </si>
  <si>
    <t>wandelen</t>
  </si>
  <si>
    <t>Wandelclub De Grashoppers Keiberg</t>
  </si>
  <si>
    <t>WSV Wit-Blauw Scherpenheuvel vzw</t>
  </si>
  <si>
    <t>wielrennen</t>
  </si>
  <si>
    <t>De Lustige Trappers</t>
  </si>
  <si>
    <t>De Schoonderbuukse Trappers</t>
  </si>
  <si>
    <t>Kermiskoers Schoonderbuken</t>
  </si>
  <si>
    <t>MB Vrienden Testelt-Zichem vzw</t>
  </si>
  <si>
    <t>MTB Okselaar</t>
  </si>
  <si>
    <t>MTBC Messelbroek</t>
  </si>
  <si>
    <t>Sinksencomité Scherpenheuvel-Zichem vzw</t>
  </si>
  <si>
    <t>Team 33</t>
  </si>
  <si>
    <t>Wielertoeristenclub De Witte Spurters Zichem</t>
  </si>
  <si>
    <t>WTC De Kroeme Gedon Okselaar</t>
  </si>
  <si>
    <t>WTC Scherpenheuvel</t>
  </si>
  <si>
    <t>WTC Testelt Sportief</t>
  </si>
  <si>
    <t>WTC Vliegend Wiel Averbode</t>
  </si>
  <si>
    <t>zaalsport</t>
  </si>
  <si>
    <t>Herbalife - sports</t>
  </si>
  <si>
    <t>Interliga zaalvoetbal federatie</t>
  </si>
  <si>
    <t>KBBC CLEM Scherpeheuvel vzw</t>
  </si>
  <si>
    <t>Senioren Badmintonclub Den Egger</t>
  </si>
  <si>
    <t>Shuttle Busters</t>
  </si>
  <si>
    <t>Thor Zichem vzw</t>
  </si>
  <si>
    <t>VC Everbeur vzw</t>
  </si>
  <si>
    <t>Vocar Goldies Volleybal</t>
  </si>
  <si>
    <t>zwemmen</t>
  </si>
  <si>
    <t>Duikschool Amykos vzw</t>
  </si>
  <si>
    <t>Zwemclub Aegir vzw</t>
  </si>
  <si>
    <t>Hagelands Rallysport Team VZW</t>
  </si>
  <si>
    <t>KE.NY VZW</t>
  </si>
  <si>
    <t>Petanqueclub Teekbroek</t>
  </si>
  <si>
    <t xml:space="preserve">Scharprunningsevents </t>
  </si>
  <si>
    <t>Thriathlonclub Go Like Hell</t>
  </si>
  <si>
    <t xml:space="preserve">Yoga Okselaar </t>
  </si>
  <si>
    <t>Welzijn</t>
  </si>
  <si>
    <t>De Snorhaar VZW</t>
  </si>
  <si>
    <t>Kattentehuis Vergeet-me-nietje</t>
  </si>
  <si>
    <t>AA groep Scherpenheuvel</t>
  </si>
  <si>
    <t>Buurthuis Onderons vzw</t>
  </si>
  <si>
    <t>Katilinka vzw</t>
  </si>
  <si>
    <t>KVG Scherpenheuvel-Zichem</t>
  </si>
  <si>
    <t>Leven met Reuma</t>
  </si>
  <si>
    <t>Rotary Tielt-Winge Hageland</t>
  </si>
  <si>
    <t>Samana Averbode</t>
  </si>
  <si>
    <t>Samana Messelbroek</t>
  </si>
  <si>
    <t>Samana Scherpenheuvel</t>
  </si>
  <si>
    <t>Samana Schoonderbuken</t>
  </si>
  <si>
    <t>Samana Testelt</t>
  </si>
  <si>
    <t xml:space="preserve">Samana Zichem </t>
  </si>
  <si>
    <t>Sint-Vincenciusvereniging OLV van Scherpenheuvel</t>
  </si>
  <si>
    <t>Ziekenzorg Animatie Averbode vzw</t>
  </si>
  <si>
    <t>evenement</t>
  </si>
  <si>
    <t>fanfare of harmonie</t>
  </si>
  <si>
    <t>totaal aantal punten</t>
  </si>
  <si>
    <t xml:space="preserve">Kani Uchi Karateclub </t>
  </si>
  <si>
    <t>Gemiddeld</t>
  </si>
  <si>
    <t>puntenberekening sport</t>
  </si>
  <si>
    <t>waarde van 1 punt is het totaal subsidiebedrag gedeeld door het totaal van de punten</t>
  </si>
  <si>
    <t>subsidie is de waarde van 1 punt x punten van de vereniging</t>
  </si>
  <si>
    <t>waarde van 1 punt</t>
  </si>
  <si>
    <t>gemiddeld punten</t>
  </si>
  <si>
    <t>SUBSIDIE</t>
  </si>
  <si>
    <t>Samana Zichem</t>
  </si>
  <si>
    <t>Ziekenzorg Okselaar</t>
  </si>
  <si>
    <t>Leven met reuma</t>
  </si>
  <si>
    <t>KVG</t>
  </si>
  <si>
    <t>18/19</t>
  </si>
  <si>
    <t>17/18</t>
  </si>
  <si>
    <t>16/17</t>
  </si>
  <si>
    <t>welzijnsvereniging</t>
  </si>
  <si>
    <t>punten</t>
  </si>
  <si>
    <t>Okra Zichem centrum</t>
  </si>
  <si>
    <t>Okra Testelt</t>
  </si>
  <si>
    <t>Okra Schoonderbuken</t>
  </si>
  <si>
    <t>Okra Scherpenheuvel</t>
  </si>
  <si>
    <t>Okra Okselaar</t>
  </si>
  <si>
    <t>Okra Keiberg</t>
  </si>
  <si>
    <t>Okra Averbode</t>
  </si>
  <si>
    <t>seniorenvereniging</t>
  </si>
  <si>
    <t>som</t>
  </si>
  <si>
    <t>gemiddeld /3</t>
  </si>
  <si>
    <t>gemiddeld / 3</t>
  </si>
  <si>
    <t>verschil van 0,02</t>
  </si>
  <si>
    <t>verschil van 0,07</t>
  </si>
  <si>
    <t>Subsidie</t>
  </si>
  <si>
    <t>KNVI Zichem</t>
  </si>
  <si>
    <t>Naam</t>
  </si>
  <si>
    <t>2016-2017</t>
  </si>
  <si>
    <t>2017-2018</t>
  </si>
  <si>
    <t>2018-2019</t>
  </si>
  <si>
    <t>Gemiddelde</t>
  </si>
  <si>
    <t>JH ‘t Boemelke</t>
  </si>
  <si>
    <t>JH ‘t Perron</t>
  </si>
  <si>
    <t>Chiro de Keten Testelt</t>
  </si>
  <si>
    <t>Chiro Scherpenheuvel</t>
  </si>
  <si>
    <t>Jeugdconcertband Zichem</t>
  </si>
  <si>
    <t>Jeugdatelier ‘t Kadolleke</t>
  </si>
  <si>
    <t>Muzeland Testelt</t>
  </si>
  <si>
    <t>gemiddeld punt</t>
  </si>
  <si>
    <t>Socio</t>
  </si>
  <si>
    <t>Fanfares en harmonies</t>
  </si>
  <si>
    <t>totaalbedrag gedeeld door 6</t>
  </si>
  <si>
    <t>jeugdverenigingen</t>
  </si>
  <si>
    <t>jeugdhuizen</t>
  </si>
  <si>
    <t>kunst&amp;jeugd</t>
  </si>
  <si>
    <t>jeugdvereniging</t>
  </si>
  <si>
    <t>koken</t>
  </si>
  <si>
    <t>percentage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</si>
</sst>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2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rgb="FF1F497D"/>
      <name val="Calibri"/>
      <family val="2"/>
    </font>
    <font>
      <b/>
      <sz val="13"/>
      <color rgb="FF1F497D"/>
      <name val="Calibri"/>
      <family val="2"/>
    </font>
    <font>
      <b/>
      <sz val="11"/>
      <color rgb="FF1F497D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rgb="FF1F497D"/>
      <name val="Cambria"/>
      <family val="1"/>
    </font>
    <font>
      <b/>
      <sz val="11"/>
      <color rgb="FF0000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color theme="0"/>
      <name val="Calibri"/>
      <family val="2"/>
    </font>
  </fonts>
  <fills count="49">
    <fill>
      <patternFill patternType="none"/>
    </fill>
    <fill>
      <patternFill patternType="gray125"/>
    </fill>
    <fill>
      <patternFill patternType="solid">
        <fgColor rgb="FFDCE6F1"/>
        <bgColor rgb="FFDCE6F1"/>
      </patternFill>
    </fill>
    <fill>
      <patternFill patternType="solid">
        <fgColor rgb="FFF2DCDB"/>
        <bgColor rgb="FFF2DCDB"/>
      </patternFill>
    </fill>
    <fill>
      <patternFill patternType="solid">
        <fgColor rgb="FFEBF1DE"/>
        <bgColor rgb="FFEBF1DE"/>
      </patternFill>
    </fill>
    <fill>
      <patternFill patternType="solid">
        <fgColor rgb="FFE4DFEC"/>
        <bgColor rgb="FFE4DFEC"/>
      </patternFill>
    </fill>
    <fill>
      <patternFill patternType="solid">
        <fgColor rgb="FFDAEEF3"/>
        <bgColor rgb="FFDAEEF3"/>
      </patternFill>
    </fill>
    <fill>
      <patternFill patternType="solid">
        <fgColor rgb="FFFDE9D9"/>
        <bgColor rgb="FFFDE9D9"/>
      </patternFill>
    </fill>
    <fill>
      <patternFill patternType="solid">
        <fgColor rgb="FFB8CCE4"/>
        <bgColor rgb="FFB8CCE4"/>
      </patternFill>
    </fill>
    <fill>
      <patternFill patternType="solid">
        <fgColor rgb="FFE6B8B7"/>
        <bgColor rgb="FFE6B8B7"/>
      </patternFill>
    </fill>
    <fill>
      <patternFill patternType="solid">
        <fgColor rgb="FFD8E4BC"/>
        <bgColor rgb="FFD8E4BC"/>
      </patternFill>
    </fill>
    <fill>
      <patternFill patternType="solid">
        <fgColor rgb="FFCCC0DA"/>
        <bgColor rgb="FFCCC0DA"/>
      </patternFill>
    </fill>
    <fill>
      <patternFill patternType="solid">
        <fgColor rgb="FFB7DEE8"/>
        <bgColor rgb="FFB7DEE8"/>
      </patternFill>
    </fill>
    <fill>
      <patternFill patternType="solid">
        <fgColor rgb="FFFCD5B4"/>
        <bgColor rgb="FFFCD5B4"/>
      </patternFill>
    </fill>
    <fill>
      <patternFill patternType="solid">
        <fgColor rgb="FF95B3D7"/>
        <bgColor rgb="FF95B3D7"/>
      </patternFill>
    </fill>
    <fill>
      <patternFill patternType="solid">
        <fgColor rgb="FFDA9694"/>
        <bgColor rgb="FFDA9694"/>
      </patternFill>
    </fill>
    <fill>
      <patternFill patternType="solid">
        <fgColor rgb="FFC4D79B"/>
        <bgColor rgb="FFC4D79B"/>
      </patternFill>
    </fill>
    <fill>
      <patternFill patternType="solid">
        <fgColor rgb="FFB1A0C7"/>
        <bgColor rgb="FFB1A0C7"/>
      </patternFill>
    </fill>
    <fill>
      <patternFill patternType="solid">
        <fgColor rgb="FF92CDDC"/>
        <bgColor rgb="FF92CDDC"/>
      </patternFill>
    </fill>
    <fill>
      <patternFill patternType="solid">
        <fgColor rgb="FFFABF8F"/>
        <bgColor rgb="FFFABF8F"/>
      </patternFill>
    </fill>
    <fill>
      <patternFill patternType="solid">
        <fgColor rgb="FF4F81BD"/>
        <bgColor rgb="FF4F81BD"/>
      </patternFill>
    </fill>
    <fill>
      <patternFill patternType="solid">
        <fgColor rgb="FFC0504D"/>
        <bgColor rgb="FFC0504D"/>
      </patternFill>
    </fill>
    <fill>
      <patternFill patternType="solid">
        <fgColor rgb="FF9BBB59"/>
        <bgColor rgb="FF9BBB59"/>
      </patternFill>
    </fill>
    <fill>
      <patternFill patternType="solid">
        <fgColor rgb="FF8064A2"/>
        <bgColor rgb="FF8064A2"/>
      </patternFill>
    </fill>
    <fill>
      <patternFill patternType="solid">
        <fgColor rgb="FF4BACC6"/>
        <bgColor rgb="FF4BACC6"/>
      </patternFill>
    </fill>
    <fill>
      <patternFill patternType="solid">
        <fgColor rgb="FFF79646"/>
        <bgColor rgb="FFF79646"/>
      </patternFill>
    </fill>
    <fill>
      <patternFill patternType="solid">
        <fgColor rgb="FFF2F2F2"/>
        <bgColor rgb="FFF2F2F2"/>
      </patternFill>
    </fill>
    <fill>
      <patternFill patternType="solid">
        <fgColor rgb="FFA5A5A5"/>
        <bgColor rgb="FFA5A5A5"/>
      </patternFill>
    </fill>
    <fill>
      <patternFill patternType="solid">
        <fgColor rgb="FFC6EFCE"/>
        <bgColor rgb="FFC6EFCE"/>
      </patternFill>
    </fill>
    <fill>
      <patternFill patternType="solid">
        <fgColor rgb="FFFFCC99"/>
        <bgColor rgb="FFFFCC99"/>
      </patternFill>
    </fill>
    <fill>
      <patternFill patternType="solid">
        <fgColor rgb="FFFFEB9C"/>
        <bgColor rgb="FFFFEB9C"/>
      </patternFill>
    </fill>
    <fill>
      <patternFill patternType="solid">
        <fgColor rgb="FFFFFFCC"/>
        <bgColor rgb="FFFFFFCC"/>
      </patternFill>
    </fill>
    <fill>
      <patternFill patternType="solid">
        <fgColor rgb="FFFFC7CE"/>
        <bgColor rgb="FFFFC7CE"/>
      </patternFill>
    </fill>
    <fill>
      <patternFill patternType="solid">
        <fgColor rgb="FF4472C4"/>
        <bgColor rgb="FF4472C4"/>
      </patternFill>
    </fill>
    <fill>
      <patternFill patternType="solid">
        <fgColor rgb="FF00B0F0"/>
        <bgColor rgb="FF00B0F0"/>
      </patternFill>
    </fill>
    <fill>
      <patternFill patternType="solid">
        <fgColor rgb="FF00B050"/>
        <bgColor rgb="FF00B050"/>
      </patternFill>
    </fill>
    <fill>
      <patternFill patternType="solid">
        <fgColor rgb="FFFF33CC"/>
        <bgColor rgb="FFFF33CC"/>
      </patternFill>
    </fill>
    <fill>
      <patternFill patternType="solid">
        <fgColor rgb="FFFF3300"/>
        <bgColor rgb="FFFF3300"/>
      </patternFill>
    </fill>
    <fill>
      <patternFill patternType="solid">
        <fgColor rgb="FF00FF00"/>
        <bgColor rgb="FF00FF00"/>
      </patternFill>
    </fill>
    <fill>
      <patternFill patternType="solid">
        <fgColor rgb="FFFF9999"/>
        <bgColor rgb="FFFF9999"/>
      </patternFill>
    </fill>
    <fill>
      <patternFill patternType="solid">
        <fgColor rgb="FFFFFF00"/>
        <bgColor rgb="FFFFFF00"/>
      </patternFill>
    </fill>
    <fill>
      <patternFill patternType="solid">
        <fgColor rgb="FFE7E6E6"/>
        <bgColor rgb="FFE7E6E6"/>
      </patternFill>
    </fill>
    <fill>
      <patternFill patternType="solid">
        <fgColor rgb="FFD9E1F2"/>
        <bgColor rgb="FFD9E1F2"/>
      </patternFill>
    </fill>
    <fill>
      <patternFill patternType="solid">
        <fgColor rgb="FFD9E1F2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D9E1F2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D9E1F2"/>
      </patternFill>
    </fill>
  </fills>
  <borders count="9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medium">
        <color rgb="FF95B3D7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FF0000"/>
      </left>
      <right style="medium">
        <color rgb="FF000000"/>
      </right>
      <top style="medium">
        <color rgb="FFFF0000"/>
      </top>
      <bottom style="medium">
        <color rgb="FF00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000000"/>
      </bottom>
      <diagonal/>
    </border>
    <border>
      <left style="thick">
        <color rgb="FFFF33CC"/>
      </left>
      <right/>
      <top style="thick">
        <color rgb="FFFF33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ck">
        <color rgb="FFFF33CC"/>
      </top>
      <bottom style="medium">
        <color rgb="FF000000"/>
      </bottom>
      <diagonal/>
    </border>
    <border>
      <left style="medium">
        <color rgb="FF000000"/>
      </left>
      <right style="thick">
        <color rgb="FFFF33CC"/>
      </right>
      <top style="thick">
        <color rgb="FFFF33CC"/>
      </top>
      <bottom style="medium">
        <color rgb="FF000000"/>
      </bottom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thick">
        <color rgb="FFFF33CC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8EA9DB"/>
      </bottom>
      <diagonal/>
    </border>
    <border>
      <left style="thin">
        <color rgb="FF000000"/>
      </left>
      <right style="thick">
        <color rgb="FFFF33CC"/>
      </right>
      <top style="medium">
        <color rgb="FF000000"/>
      </top>
      <bottom style="thin">
        <color rgb="FF000000"/>
      </bottom>
      <diagonal/>
    </border>
    <border>
      <left style="thick">
        <color rgb="FFFF33CC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FF33CC"/>
      </right>
      <top style="thin">
        <color rgb="FF000000"/>
      </top>
      <bottom style="thin">
        <color rgb="FF000000"/>
      </bottom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FF33CC"/>
      </left>
      <right style="thin">
        <color rgb="FF000000"/>
      </right>
      <top style="thin">
        <color rgb="FF000000"/>
      </top>
      <bottom style="thick">
        <color rgb="FFFF33C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FF33CC"/>
      </bottom>
      <diagonal/>
    </border>
    <border>
      <left style="thin">
        <color rgb="FF000000"/>
      </left>
      <right style="thick">
        <color rgb="FFFF33CC"/>
      </right>
      <top style="thin">
        <color rgb="FF000000"/>
      </top>
      <bottom style="thick">
        <color rgb="FFFF33CC"/>
      </bottom>
      <diagonal/>
    </border>
    <border>
      <left style="thick">
        <color rgb="FF00FF00"/>
      </left>
      <right/>
      <top style="thick">
        <color rgb="FF00FF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ck">
        <color rgb="FF00FF00"/>
      </top>
      <bottom style="medium">
        <color rgb="FF000000"/>
      </bottom>
      <diagonal/>
    </border>
    <border>
      <left style="medium">
        <color rgb="FF000000"/>
      </left>
      <right style="thick">
        <color rgb="FF00FF00"/>
      </right>
      <top style="thick">
        <color rgb="FF00FF00"/>
      </top>
      <bottom style="medium">
        <color rgb="FF000000"/>
      </bottom>
      <diagonal/>
    </border>
    <border>
      <left style="thick">
        <color rgb="FF00FF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00FF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FF00"/>
      </left>
      <right style="thin">
        <color rgb="FF000000"/>
      </right>
      <top style="thin">
        <color rgb="FF000000"/>
      </top>
      <bottom style="thick">
        <color rgb="FF00FF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FF00"/>
      </bottom>
      <diagonal/>
    </border>
    <border>
      <left style="thin">
        <color rgb="FF000000"/>
      </left>
      <right style="thick">
        <color rgb="FF00FF00"/>
      </right>
      <top style="thin">
        <color rgb="FF000000"/>
      </top>
      <bottom style="thick">
        <color rgb="FF00FF00"/>
      </bottom>
      <diagonal/>
    </border>
    <border>
      <left style="thick">
        <color rgb="FFFF99CC"/>
      </left>
      <right/>
      <top style="thick">
        <color rgb="FFFF99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ck">
        <color rgb="FFFF99CC"/>
      </top>
      <bottom style="medium">
        <color rgb="FF000000"/>
      </bottom>
      <diagonal/>
    </border>
    <border>
      <left style="medium">
        <color rgb="FF000000"/>
      </left>
      <right style="thick">
        <color rgb="FFFF99CC"/>
      </right>
      <top style="thick">
        <color rgb="FFFF99CC"/>
      </top>
      <bottom style="medium">
        <color rgb="FF000000"/>
      </bottom>
      <diagonal/>
    </border>
    <border>
      <left style="thick">
        <color rgb="FFFF99CC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FF99CC"/>
      </right>
      <top style="thin">
        <color rgb="FF000000"/>
      </top>
      <bottom style="thin">
        <color rgb="FF000000"/>
      </bottom>
      <diagonal/>
    </border>
    <border>
      <left style="thick">
        <color rgb="FFFF99CC"/>
      </left>
      <right style="thin">
        <color rgb="FF000000"/>
      </right>
      <top style="thin">
        <color rgb="FF000000"/>
      </top>
      <bottom style="thick">
        <color rgb="FFFF99C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FF99CC"/>
      </bottom>
      <diagonal/>
    </border>
    <border>
      <left style="thin">
        <color rgb="FF000000"/>
      </left>
      <right style="thick">
        <color rgb="FFFF99CC"/>
      </right>
      <top style="thin">
        <color rgb="FF000000"/>
      </top>
      <bottom style="thick">
        <color rgb="FFFF99CC"/>
      </bottom>
      <diagonal/>
    </border>
    <border>
      <left style="thick">
        <color rgb="FF4472C4"/>
      </left>
      <right/>
      <top style="thick">
        <color rgb="FF4472C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ck">
        <color rgb="FF4472C4"/>
      </top>
      <bottom style="medium">
        <color rgb="FF000000"/>
      </bottom>
      <diagonal/>
    </border>
    <border>
      <left style="medium">
        <color rgb="FF000000"/>
      </left>
      <right style="thick">
        <color rgb="FF4472C4"/>
      </right>
      <top style="thick">
        <color rgb="FF4472C4"/>
      </top>
      <bottom style="medium">
        <color rgb="FF000000"/>
      </bottom>
      <diagonal/>
    </border>
    <border>
      <left style="thick">
        <color rgb="FF4472C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4472C4"/>
      </right>
      <top style="thin">
        <color rgb="FF000000"/>
      </top>
      <bottom style="thin">
        <color rgb="FF000000"/>
      </bottom>
      <diagonal/>
    </border>
    <border>
      <left style="thick">
        <color rgb="FF4472C4"/>
      </left>
      <right style="thin">
        <color rgb="FF000000"/>
      </right>
      <top style="thin">
        <color rgb="FF000000"/>
      </top>
      <bottom style="thick">
        <color rgb="FF4472C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4472C4"/>
      </bottom>
      <diagonal/>
    </border>
    <border>
      <left style="thin">
        <color rgb="FF000000"/>
      </left>
      <right style="thick">
        <color rgb="FF4472C4"/>
      </right>
      <top style="thin">
        <color rgb="FF000000"/>
      </top>
      <bottom style="thick">
        <color rgb="FF4472C4"/>
      </bottom>
      <diagonal/>
    </border>
    <border>
      <left style="thick">
        <color rgb="FFFF0000"/>
      </left>
      <right/>
      <top style="thick">
        <color rgb="FFFF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ck">
        <color rgb="FFFF0000"/>
      </top>
      <bottom style="medium">
        <color rgb="FF000000"/>
      </bottom>
      <diagonal/>
    </border>
    <border>
      <left style="medium">
        <color rgb="FF000000"/>
      </left>
      <right style="thick">
        <color rgb="FFFF0000"/>
      </right>
      <top style="thick">
        <color rgb="FFFF0000"/>
      </top>
      <bottom style="medium">
        <color rgb="FF000000"/>
      </bottom>
      <diagonal/>
    </border>
    <border>
      <left style="thick">
        <color rgb="FFFF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FF0000"/>
      </right>
      <top style="thin">
        <color rgb="FF000000"/>
      </top>
      <bottom style="thin">
        <color rgb="FF000000"/>
      </bottom>
      <diagonal/>
    </border>
    <border>
      <left style="thick">
        <color rgb="FFFF0000"/>
      </left>
      <right style="thin">
        <color rgb="FF000000"/>
      </right>
      <top style="thin">
        <color rgb="FF000000"/>
      </top>
      <bottom style="thin">
        <color rgb="FF8EA9DB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8EA9DB"/>
      </bottom>
      <diagonal/>
    </border>
    <border>
      <left style="thick">
        <color rgb="FFFF0000"/>
      </left>
      <right style="thin">
        <color rgb="FF000000"/>
      </right>
      <top style="thin">
        <color rgb="FF000000"/>
      </top>
      <bottom style="thick">
        <color rgb="FFFF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FF0000"/>
      </bottom>
      <diagonal/>
    </border>
    <border>
      <left style="thin">
        <color rgb="FF000000"/>
      </left>
      <right style="thick">
        <color rgb="FFFF0000"/>
      </right>
      <top style="thin">
        <color rgb="FF000000"/>
      </top>
      <bottom style="thick">
        <color rgb="FFFF0000"/>
      </bottom>
      <diagonal/>
    </border>
    <border>
      <left style="thick">
        <color rgb="FF70AD47"/>
      </left>
      <right/>
      <top style="thick">
        <color rgb="FF70AD47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ck">
        <color rgb="FF70AD47"/>
      </top>
      <bottom style="medium">
        <color rgb="FF000000"/>
      </bottom>
      <diagonal/>
    </border>
    <border>
      <left style="medium">
        <color rgb="FF000000"/>
      </left>
      <right style="thick">
        <color rgb="FF70AD47"/>
      </right>
      <top style="thick">
        <color rgb="FF70AD47"/>
      </top>
      <bottom style="medium">
        <color rgb="FF000000"/>
      </bottom>
      <diagonal/>
    </border>
    <border>
      <left style="thick">
        <color rgb="FF70AD47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70AD47"/>
      </right>
      <top style="thin">
        <color rgb="FF000000"/>
      </top>
      <bottom style="thin">
        <color rgb="FF000000"/>
      </bottom>
      <diagonal/>
    </border>
    <border>
      <left style="thick">
        <color rgb="FF70AD47"/>
      </left>
      <right style="thin">
        <color rgb="FF000000"/>
      </right>
      <top style="thin">
        <color rgb="FF000000"/>
      </top>
      <bottom style="thin">
        <color rgb="FF8EA9DB"/>
      </bottom>
      <diagonal/>
    </border>
    <border>
      <left style="thin">
        <color rgb="FF000000"/>
      </left>
      <right style="thick">
        <color rgb="FF70AD47"/>
      </right>
      <top style="thin">
        <color rgb="FF000000"/>
      </top>
      <bottom style="thin">
        <color rgb="FF8EA9DB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70AD47"/>
      </bottom>
      <diagonal/>
    </border>
    <border>
      <left style="thin">
        <color rgb="FF000000"/>
      </left>
      <right style="thick">
        <color rgb="FF70AD47"/>
      </right>
      <top style="thin">
        <color rgb="FF000000"/>
      </top>
      <bottom style="thick">
        <color rgb="FF70AD47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rgb="FFFF33CC"/>
      </left>
      <right style="thin">
        <color auto="1"/>
      </right>
      <top style="thin">
        <color rgb="FF00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auto="1"/>
      </bottom>
      <diagonal/>
    </border>
    <border>
      <left style="thin">
        <color auto="1"/>
      </left>
      <right style="thick">
        <color rgb="FFFF33CC"/>
      </right>
      <top style="thin">
        <color rgb="FF000000"/>
      </top>
      <bottom style="thin">
        <color auto="1"/>
      </bottom>
      <diagonal/>
    </border>
    <border>
      <left style="thick">
        <color rgb="FFFF33CC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rgb="FFFF33CC"/>
      </right>
      <top style="thin">
        <color auto="1"/>
      </top>
      <bottom style="thin">
        <color auto="1"/>
      </bottom>
      <diagonal/>
    </border>
    <border>
      <left style="thick">
        <color rgb="FFFF33CC"/>
      </left>
      <right style="thin">
        <color auto="1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 style="thick">
        <color rgb="FFFF33CC"/>
      </right>
      <top style="thin">
        <color auto="1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rgb="FF70AD47"/>
      </left>
      <right style="thin">
        <color rgb="FF000000"/>
      </right>
      <top/>
      <bottom/>
      <diagonal/>
    </border>
    <border>
      <left/>
      <right/>
      <top style="medium">
        <color rgb="FF000000"/>
      </top>
      <bottom/>
      <diagonal/>
    </border>
    <border>
      <left style="thick">
        <color rgb="FF00FF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42">
    <xf numFmtId="0" fontId="0" fillId="0" borderId="0"/>
    <xf numFmtId="0" fontId="13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6" fillId="28" borderId="0" applyNumberFormat="0" applyBorder="0" applyAlignment="0" applyProtection="0"/>
    <xf numFmtId="0" fontId="12" fillId="32" borderId="0" applyNumberFormat="0" applyBorder="0" applyAlignment="0" applyProtection="0"/>
    <xf numFmtId="0" fontId="11" fillId="30" borderId="0" applyNumberFormat="0" applyBorder="0" applyAlignment="0" applyProtection="0"/>
    <xf numFmtId="0" fontId="7" fillId="29" borderId="1" applyNumberFormat="0" applyAlignment="0" applyProtection="0"/>
    <xf numFmtId="0" fontId="15" fillId="26" borderId="2" applyNumberFormat="0" applyAlignment="0" applyProtection="0"/>
    <xf numFmtId="0" fontId="3" fillId="26" borderId="1" applyNumberFormat="0" applyAlignment="0" applyProtection="0"/>
    <xf numFmtId="0" fontId="5" fillId="0" borderId="3" applyNumberFormat="0" applyFill="0" applyAlignment="0" applyProtection="0"/>
    <xf numFmtId="0" fontId="4" fillId="27" borderId="4" applyNumberFormat="0" applyAlignment="0" applyProtection="0"/>
    <xf numFmtId="0" fontId="17" fillId="0" borderId="0" applyNumberFormat="0" applyFill="0" applyBorder="0" applyAlignment="0" applyProtection="0"/>
    <xf numFmtId="0" fontId="1" fillId="31" borderId="5" applyNumberFormat="0" applyFont="0" applyAlignment="0" applyProtection="0"/>
    <xf numFmtId="0" fontId="16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2" fillId="20" borderId="0" applyNumberFormat="0" applyBorder="0" applyAlignment="0" applyProtection="0"/>
    <xf numFmtId="0" fontId="1" fillId="2" borderId="0" applyNumberFormat="0" applyFont="0" applyBorder="0" applyAlignment="0" applyProtection="0"/>
    <xf numFmtId="0" fontId="1" fillId="8" borderId="0" applyNumberFormat="0" applyFon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" fillId="3" borderId="0" applyNumberFormat="0" applyFont="0" applyBorder="0" applyAlignment="0" applyProtection="0"/>
    <xf numFmtId="0" fontId="1" fillId="9" borderId="0" applyNumberFormat="0" applyFon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1" fillId="4" borderId="0" applyNumberFormat="0" applyFont="0" applyBorder="0" applyAlignment="0" applyProtection="0"/>
    <xf numFmtId="0" fontId="1" fillId="10" borderId="0" applyNumberFormat="0" applyFont="0" applyBorder="0" applyAlignment="0" applyProtection="0"/>
    <xf numFmtId="0" fontId="2" fillId="16" borderId="0" applyNumberFormat="0" applyBorder="0" applyAlignment="0" applyProtection="0"/>
    <xf numFmtId="0" fontId="2" fillId="23" borderId="0" applyNumberFormat="0" applyBorder="0" applyAlignment="0" applyProtection="0"/>
    <xf numFmtId="0" fontId="1" fillId="5" borderId="0" applyNumberFormat="0" applyFont="0" applyBorder="0" applyAlignment="0" applyProtection="0"/>
    <xf numFmtId="0" fontId="1" fillId="11" borderId="0" applyNumberFormat="0" applyFont="0" applyBorder="0" applyAlignment="0" applyProtection="0"/>
    <xf numFmtId="0" fontId="2" fillId="17" borderId="0" applyNumberFormat="0" applyBorder="0" applyAlignment="0" applyProtection="0"/>
    <xf numFmtId="0" fontId="2" fillId="24" borderId="0" applyNumberFormat="0" applyBorder="0" applyAlignment="0" applyProtection="0"/>
    <xf numFmtId="0" fontId="1" fillId="6" borderId="0" applyNumberFormat="0" applyFont="0" applyBorder="0" applyAlignment="0" applyProtection="0"/>
    <xf numFmtId="0" fontId="1" fillId="12" borderId="0" applyNumberFormat="0" applyFont="0" applyBorder="0" applyAlignment="0" applyProtection="0"/>
    <xf numFmtId="0" fontId="2" fillId="18" borderId="0" applyNumberFormat="0" applyBorder="0" applyAlignment="0" applyProtection="0"/>
    <xf numFmtId="0" fontId="2" fillId="25" borderId="0" applyNumberFormat="0" applyBorder="0" applyAlignment="0" applyProtection="0"/>
    <xf numFmtId="0" fontId="1" fillId="7" borderId="0" applyNumberFormat="0" applyFont="0" applyBorder="0" applyAlignment="0" applyProtection="0"/>
    <xf numFmtId="0" fontId="1" fillId="13" borderId="0" applyNumberFormat="0" applyFont="0" applyBorder="0" applyAlignment="0" applyProtection="0"/>
    <xf numFmtId="0" fontId="2" fillId="19" borderId="0" applyNumberFormat="0" applyBorder="0" applyAlignment="0" applyProtection="0"/>
  </cellStyleXfs>
  <cellXfs count="203">
    <xf numFmtId="0" fontId="0" fillId="0" borderId="0" xfId="0"/>
    <xf numFmtId="0" fontId="4" fillId="33" borderId="10" xfId="0" applyFont="1" applyFill="1" applyBorder="1"/>
    <xf numFmtId="0" fontId="0" fillId="34" borderId="11" xfId="0" applyFill="1" applyBorder="1"/>
    <xf numFmtId="4" fontId="0" fillId="0" borderId="0" xfId="0" applyNumberFormat="1"/>
    <xf numFmtId="0" fontId="0" fillId="35" borderId="12" xfId="0" applyFill="1" applyBorder="1"/>
    <xf numFmtId="0" fontId="0" fillId="36" borderId="12" xfId="0" applyFill="1" applyBorder="1"/>
    <xf numFmtId="0" fontId="0" fillId="37" borderId="12" xfId="0" applyFill="1" applyBorder="1"/>
    <xf numFmtId="0" fontId="0" fillId="38" borderId="12" xfId="0" applyFill="1" applyBorder="1"/>
    <xf numFmtId="0" fontId="0" fillId="39" borderId="12" xfId="0" applyFill="1" applyBorder="1"/>
    <xf numFmtId="0" fontId="0" fillId="0" borderId="13" xfId="0" applyBorder="1"/>
    <xf numFmtId="0" fontId="14" fillId="40" borderId="10" xfId="0" applyFont="1" applyFill="1" applyBorder="1"/>
    <xf numFmtId="4" fontId="14" fillId="40" borderId="10" xfId="0" applyNumberFormat="1" applyFont="1" applyFill="1" applyBorder="1"/>
    <xf numFmtId="0" fontId="0" fillId="41" borderId="10" xfId="0" applyFill="1" applyBorder="1" applyAlignment="1">
      <alignment horizontal="center"/>
    </xf>
    <xf numFmtId="0" fontId="0" fillId="41" borderId="14" xfId="0" applyFill="1" applyBorder="1" applyAlignment="1">
      <alignment horizontal="center"/>
    </xf>
    <xf numFmtId="0" fontId="0" fillId="41" borderId="15" xfId="0" applyFill="1" applyBorder="1"/>
    <xf numFmtId="0" fontId="0" fillId="41" borderId="16" xfId="0" applyFill="1" applyBorder="1" applyAlignment="1">
      <alignment horizontal="center"/>
    </xf>
    <xf numFmtId="0" fontId="4" fillId="33" borderId="17" xfId="0" applyFont="1" applyFill="1" applyBorder="1"/>
    <xf numFmtId="0" fontId="4" fillId="33" borderId="18" xfId="0" applyFont="1" applyFill="1" applyBorder="1"/>
    <xf numFmtId="0" fontId="4" fillId="33" borderId="19" xfId="0" applyFont="1" applyFill="1" applyBorder="1"/>
    <xf numFmtId="0" fontId="4" fillId="33" borderId="0" xfId="0" applyFont="1" applyFill="1"/>
    <xf numFmtId="0" fontId="0" fillId="0" borderId="0" xfId="0" applyAlignment="1">
      <alignment horizontal="center"/>
    </xf>
    <xf numFmtId="4" fontId="0" fillId="0" borderId="20" xfId="0" applyNumberFormat="1" applyBorder="1"/>
    <xf numFmtId="0" fontId="0" fillId="0" borderId="21" xfId="0" applyBorder="1" applyAlignment="1">
      <alignment horizontal="center"/>
    </xf>
    <xf numFmtId="10" fontId="0" fillId="0" borderId="0" xfId="0" applyNumberFormat="1"/>
    <xf numFmtId="0" fontId="0" fillId="42" borderId="22" xfId="0" applyFill="1" applyBorder="1"/>
    <xf numFmtId="0" fontId="0" fillId="42" borderId="24" xfId="0" applyFill="1" applyBorder="1"/>
    <xf numFmtId="4" fontId="14" fillId="0" borderId="0" xfId="0" applyNumberFormat="1" applyFont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42" borderId="25" xfId="0" applyFill="1" applyBorder="1"/>
    <xf numFmtId="0" fontId="0" fillId="42" borderId="26" xfId="0" applyFill="1" applyBorder="1"/>
    <xf numFmtId="0" fontId="0" fillId="42" borderId="27" xfId="0" applyFill="1" applyBorder="1"/>
    <xf numFmtId="4" fontId="0" fillId="0" borderId="28" xfId="0" applyNumberFormat="1" applyBorder="1"/>
    <xf numFmtId="0" fontId="0" fillId="0" borderId="29" xfId="0" applyBorder="1" applyAlignment="1">
      <alignment horizontal="center"/>
    </xf>
    <xf numFmtId="0" fontId="0" fillId="39" borderId="13" xfId="0" applyFill="1" applyBorder="1"/>
    <xf numFmtId="0" fontId="0" fillId="40" borderId="10" xfId="0" applyFill="1" applyBorder="1"/>
    <xf numFmtId="0" fontId="14" fillId="40" borderId="10" xfId="0" applyFont="1" applyFill="1" applyBorder="1" applyAlignment="1">
      <alignment horizontal="center"/>
    </xf>
    <xf numFmtId="0" fontId="2" fillId="0" borderId="0" xfId="0" applyFont="1" applyFill="1"/>
    <xf numFmtId="0" fontId="0" fillId="0" borderId="0" xfId="0" applyFill="1"/>
    <xf numFmtId="0" fontId="14" fillId="36" borderId="10" xfId="0" applyFont="1" applyFill="1" applyBorder="1"/>
    <xf numFmtId="0" fontId="0" fillId="0" borderId="30" xfId="0" applyBorder="1"/>
    <xf numFmtId="4" fontId="0" fillId="0" borderId="26" xfId="0" applyNumberFormat="1" applyBorder="1"/>
    <xf numFmtId="4" fontId="0" fillId="0" borderId="26" xfId="0" applyNumberFormat="1" applyFill="1" applyBorder="1"/>
    <xf numFmtId="4" fontId="0" fillId="0" borderId="0" xfId="0" applyNumberFormat="1" applyFill="1"/>
    <xf numFmtId="0" fontId="14" fillId="40" borderId="14" xfId="0" applyFont="1" applyFill="1" applyBorder="1"/>
    <xf numFmtId="4" fontId="14" fillId="40" borderId="14" xfId="0" applyNumberFormat="1" applyFont="1" applyFill="1" applyBorder="1"/>
    <xf numFmtId="4" fontId="18" fillId="0" borderId="0" xfId="0" applyNumberFormat="1" applyFont="1"/>
    <xf numFmtId="2" fontId="0" fillId="0" borderId="0" xfId="0" applyNumberFormat="1"/>
    <xf numFmtId="0" fontId="14" fillId="0" borderId="0" xfId="0" applyFont="1" applyFill="1"/>
    <xf numFmtId="0" fontId="4" fillId="33" borderId="34" xfId="0" applyFont="1" applyFill="1" applyBorder="1"/>
    <xf numFmtId="0" fontId="4" fillId="33" borderId="35" xfId="0" applyFont="1" applyFill="1" applyBorder="1"/>
    <xf numFmtId="0" fontId="4" fillId="33" borderId="36" xfId="0" applyFont="1" applyFill="1" applyBorder="1"/>
    <xf numFmtId="0" fontId="0" fillId="0" borderId="37" xfId="0" applyBorder="1"/>
    <xf numFmtId="0" fontId="0" fillId="0" borderId="38" xfId="0" applyBorder="1"/>
    <xf numFmtId="0" fontId="0" fillId="42" borderId="39" xfId="0" applyFill="1" applyBorder="1"/>
    <xf numFmtId="0" fontId="0" fillId="0" borderId="39" xfId="0" applyBorder="1"/>
    <xf numFmtId="0" fontId="0" fillId="38" borderId="10" xfId="0" applyFill="1" applyBorder="1"/>
    <xf numFmtId="0" fontId="0" fillId="0" borderId="40" xfId="0" applyBorder="1"/>
    <xf numFmtId="0" fontId="0" fillId="0" borderId="41" xfId="0" applyBorder="1"/>
    <xf numFmtId="0" fontId="0" fillId="0" borderId="42" xfId="0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4" fillId="33" borderId="43" xfId="0" applyFont="1" applyFill="1" applyBorder="1"/>
    <xf numFmtId="0" fontId="4" fillId="33" borderId="44" xfId="0" applyFont="1" applyFill="1" applyBorder="1"/>
    <xf numFmtId="0" fontId="4" fillId="33" borderId="45" xfId="0" applyFont="1" applyFill="1" applyBorder="1"/>
    <xf numFmtId="0" fontId="0" fillId="42" borderId="46" xfId="0" applyFill="1" applyBorder="1"/>
    <xf numFmtId="0" fontId="0" fillId="42" borderId="47" xfId="0" applyFill="1" applyBorder="1"/>
    <xf numFmtId="0" fontId="0" fillId="0" borderId="46" xfId="0" applyBorder="1"/>
    <xf numFmtId="0" fontId="0" fillId="0" borderId="47" xfId="0" applyBorder="1"/>
    <xf numFmtId="0" fontId="0" fillId="0" borderId="46" xfId="0" applyFill="1" applyBorder="1"/>
    <xf numFmtId="0" fontId="0" fillId="0" borderId="26" xfId="0" applyFill="1" applyBorder="1"/>
    <xf numFmtId="0" fontId="0" fillId="42" borderId="48" xfId="0" applyFill="1" applyBorder="1"/>
    <xf numFmtId="0" fontId="0" fillId="42" borderId="49" xfId="0" applyFill="1" applyBorder="1"/>
    <xf numFmtId="0" fontId="0" fillId="42" borderId="50" xfId="0" applyFill="1" applyBorder="1"/>
    <xf numFmtId="0" fontId="0" fillId="39" borderId="10" xfId="0" applyFill="1" applyBorder="1"/>
    <xf numFmtId="0" fontId="4" fillId="33" borderId="51" xfId="0" applyFont="1" applyFill="1" applyBorder="1"/>
    <xf numFmtId="0" fontId="4" fillId="33" borderId="52" xfId="0" applyFont="1" applyFill="1" applyBorder="1"/>
    <xf numFmtId="0" fontId="4" fillId="33" borderId="53" xfId="0" applyFont="1" applyFill="1" applyBorder="1"/>
    <xf numFmtId="0" fontId="0" fillId="0" borderId="54" xfId="0" applyBorder="1"/>
    <xf numFmtId="0" fontId="0" fillId="0" borderId="55" xfId="0" applyBorder="1"/>
    <xf numFmtId="0" fontId="0" fillId="42" borderId="54" xfId="0" applyFill="1" applyBorder="1"/>
    <xf numFmtId="0" fontId="0" fillId="42" borderId="55" xfId="0" applyFill="1" applyBorder="1"/>
    <xf numFmtId="0" fontId="0" fillId="42" borderId="56" xfId="0" applyFill="1" applyBorder="1"/>
    <xf numFmtId="0" fontId="0" fillId="42" borderId="57" xfId="0" applyFill="1" applyBorder="1"/>
    <xf numFmtId="0" fontId="0" fillId="42" borderId="58" xfId="0" applyFill="1" applyBorder="1"/>
    <xf numFmtId="0" fontId="0" fillId="34" borderId="10" xfId="0" applyFill="1" applyBorder="1"/>
    <xf numFmtId="0" fontId="4" fillId="33" borderId="59" xfId="0" applyFont="1" applyFill="1" applyBorder="1"/>
    <xf numFmtId="0" fontId="4" fillId="33" borderId="60" xfId="0" applyFont="1" applyFill="1" applyBorder="1"/>
    <xf numFmtId="0" fontId="4" fillId="33" borderId="61" xfId="0" applyFont="1" applyFill="1" applyBorder="1"/>
    <xf numFmtId="0" fontId="0" fillId="0" borderId="62" xfId="0" applyBorder="1"/>
    <xf numFmtId="0" fontId="0" fillId="0" borderId="63" xfId="0" applyBorder="1"/>
    <xf numFmtId="0" fontId="0" fillId="42" borderId="62" xfId="0" applyFill="1" applyBorder="1"/>
    <xf numFmtId="0" fontId="0" fillId="42" borderId="63" xfId="0" applyFill="1" applyBorder="1"/>
    <xf numFmtId="0" fontId="0" fillId="37" borderId="10" xfId="0" applyFill="1" applyBorder="1"/>
    <xf numFmtId="0" fontId="0" fillId="42" borderId="64" xfId="0" applyFill="1" applyBorder="1"/>
    <xf numFmtId="0" fontId="0" fillId="42" borderId="65" xfId="0" applyFill="1" applyBorder="1"/>
    <xf numFmtId="0" fontId="0" fillId="0" borderId="66" xfId="0" applyBorder="1"/>
    <xf numFmtId="0" fontId="0" fillId="0" borderId="67" xfId="0" applyBorder="1"/>
    <xf numFmtId="0" fontId="0" fillId="0" borderId="68" xfId="0" applyBorder="1"/>
    <xf numFmtId="0" fontId="4" fillId="33" borderId="69" xfId="0" applyFont="1" applyFill="1" applyBorder="1"/>
    <xf numFmtId="0" fontId="4" fillId="33" borderId="70" xfId="0" applyFont="1" applyFill="1" applyBorder="1"/>
    <xf numFmtId="0" fontId="4" fillId="33" borderId="71" xfId="0" applyFont="1" applyFill="1" applyBorder="1"/>
    <xf numFmtId="0" fontId="0" fillId="42" borderId="72" xfId="0" applyFill="1" applyBorder="1"/>
    <xf numFmtId="0" fontId="0" fillId="42" borderId="73" xfId="0" applyFill="1" applyBorder="1"/>
    <xf numFmtId="0" fontId="0" fillId="0" borderId="72" xfId="0" applyBorder="1"/>
    <xf numFmtId="0" fontId="0" fillId="0" borderId="73" xfId="0" applyBorder="1"/>
    <xf numFmtId="0" fontId="0" fillId="0" borderId="74" xfId="0" applyBorder="1"/>
    <xf numFmtId="0" fontId="0" fillId="0" borderId="65" xfId="0" applyBorder="1"/>
    <xf numFmtId="0" fontId="0" fillId="0" borderId="75" xfId="0" applyBorder="1"/>
    <xf numFmtId="0" fontId="0" fillId="35" borderId="10" xfId="0" applyFill="1" applyBorder="1"/>
    <xf numFmtId="0" fontId="0" fillId="42" borderId="74" xfId="0" applyFill="1" applyBorder="1"/>
    <xf numFmtId="0" fontId="0" fillId="42" borderId="75" xfId="0" applyFill="1" applyBorder="1"/>
    <xf numFmtId="0" fontId="0" fillId="0" borderId="76" xfId="0" applyBorder="1"/>
    <xf numFmtId="0" fontId="0" fillId="0" borderId="77" xfId="0" applyBorder="1"/>
    <xf numFmtId="0" fontId="0" fillId="0" borderId="62" xfId="0" applyFill="1" applyBorder="1"/>
    <xf numFmtId="0" fontId="0" fillId="0" borderId="63" xfId="0" applyFill="1" applyBorder="1"/>
    <xf numFmtId="0" fontId="0" fillId="43" borderId="62" xfId="0" applyFill="1" applyBorder="1"/>
    <xf numFmtId="0" fontId="0" fillId="43" borderId="26" xfId="0" applyFill="1" applyBorder="1"/>
    <xf numFmtId="0" fontId="0" fillId="43" borderId="63" xfId="0" applyFill="1" applyBorder="1"/>
    <xf numFmtId="0" fontId="0" fillId="0" borderId="25" xfId="0" applyFill="1" applyBorder="1"/>
    <xf numFmtId="0" fontId="0" fillId="0" borderId="27" xfId="0" applyFill="1" applyBorder="1"/>
    <xf numFmtId="0" fontId="0" fillId="43" borderId="25" xfId="0" applyFill="1" applyBorder="1"/>
    <xf numFmtId="0" fontId="0" fillId="43" borderId="27" xfId="0" applyFill="1" applyBorder="1"/>
    <xf numFmtId="0" fontId="0" fillId="0" borderId="78" xfId="0" applyFill="1" applyBorder="1"/>
    <xf numFmtId="0" fontId="0" fillId="42" borderId="79" xfId="0" applyFill="1" applyBorder="1"/>
    <xf numFmtId="0" fontId="0" fillId="42" borderId="80" xfId="0" applyFill="1" applyBorder="1"/>
    <xf numFmtId="0" fontId="0" fillId="42" borderId="81" xfId="0" applyFill="1" applyBorder="1"/>
    <xf numFmtId="0" fontId="0" fillId="0" borderId="82" xfId="0" applyFill="1" applyBorder="1"/>
    <xf numFmtId="0" fontId="0" fillId="0" borderId="83" xfId="0" applyFill="1" applyBorder="1"/>
    <xf numFmtId="0" fontId="0" fillId="43" borderId="84" xfId="0" applyFill="1" applyBorder="1"/>
    <xf numFmtId="0" fontId="0" fillId="43" borderId="85" xfId="0" applyFill="1" applyBorder="1"/>
    <xf numFmtId="0" fontId="0" fillId="43" borderId="86" xfId="0" applyFill="1" applyBorder="1"/>
    <xf numFmtId="0" fontId="0" fillId="44" borderId="62" xfId="0" applyFill="1" applyBorder="1"/>
    <xf numFmtId="0" fontId="0" fillId="44" borderId="26" xfId="0" applyFill="1" applyBorder="1"/>
    <xf numFmtId="0" fontId="0" fillId="44" borderId="63" xfId="0" applyFill="1" applyBorder="1"/>
    <xf numFmtId="0" fontId="0" fillId="45" borderId="0" xfId="0" applyFill="1"/>
    <xf numFmtId="4" fontId="0" fillId="45" borderId="0" xfId="0" applyNumberFormat="1" applyFill="1"/>
    <xf numFmtId="0" fontId="0" fillId="45" borderId="62" xfId="0" applyFill="1" applyBorder="1"/>
    <xf numFmtId="0" fontId="0" fillId="45" borderId="26" xfId="0" applyFill="1" applyBorder="1"/>
    <xf numFmtId="0" fontId="0" fillId="45" borderId="63" xfId="0" applyFill="1" applyBorder="1"/>
    <xf numFmtId="0" fontId="0" fillId="46" borderId="62" xfId="0" applyFill="1" applyBorder="1"/>
    <xf numFmtId="0" fontId="0" fillId="46" borderId="26" xfId="0" applyFill="1" applyBorder="1"/>
    <xf numFmtId="0" fontId="0" fillId="46" borderId="63" xfId="0" applyFill="1" applyBorder="1"/>
    <xf numFmtId="164" fontId="0" fillId="0" borderId="0" xfId="0" applyNumberFormat="1"/>
    <xf numFmtId="0" fontId="0" fillId="44" borderId="0" xfId="0" applyFill="1" applyBorder="1"/>
    <xf numFmtId="4" fontId="14" fillId="44" borderId="0" xfId="0" applyNumberFormat="1" applyFont="1" applyFill="1" applyBorder="1"/>
    <xf numFmtId="0" fontId="14" fillId="44" borderId="0" xfId="0" applyFont="1" applyFill="1" applyBorder="1" applyAlignment="1">
      <alignment horizontal="center"/>
    </xf>
    <xf numFmtId="164" fontId="4" fillId="33" borderId="61" xfId="0" applyNumberFormat="1" applyFont="1" applyFill="1" applyBorder="1"/>
    <xf numFmtId="164" fontId="19" fillId="45" borderId="26" xfId="0" applyNumberFormat="1" applyFont="1" applyFill="1" applyBorder="1"/>
    <xf numFmtId="164" fontId="19" fillId="46" borderId="26" xfId="0" applyNumberFormat="1" applyFont="1" applyFill="1" applyBorder="1"/>
    <xf numFmtId="2" fontId="19" fillId="45" borderId="26" xfId="0" applyNumberFormat="1" applyFont="1" applyFill="1" applyBorder="1"/>
    <xf numFmtId="0" fontId="0" fillId="45" borderId="67" xfId="0" applyFill="1" applyBorder="1"/>
    <xf numFmtId="164" fontId="19" fillId="45" borderId="67" xfId="0" applyNumberFormat="1" applyFont="1" applyFill="1" applyBorder="1"/>
    <xf numFmtId="0" fontId="0" fillId="0" borderId="87" xfId="0" applyBorder="1"/>
    <xf numFmtId="0" fontId="0" fillId="0" borderId="88" xfId="0" applyBorder="1"/>
    <xf numFmtId="0" fontId="0" fillId="0" borderId="89" xfId="0" applyBorder="1"/>
    <xf numFmtId="0" fontId="0" fillId="0" borderId="90" xfId="0" applyBorder="1"/>
    <xf numFmtId="0" fontId="0" fillId="0" borderId="91" xfId="0" applyBorder="1"/>
    <xf numFmtId="0" fontId="0" fillId="0" borderId="92" xfId="0" applyBorder="1"/>
    <xf numFmtId="0" fontId="0" fillId="0" borderId="91" xfId="0" applyFill="1" applyBorder="1"/>
    <xf numFmtId="0" fontId="0" fillId="0" borderId="0" xfId="0" applyBorder="1"/>
    <xf numFmtId="0" fontId="0" fillId="0" borderId="93" xfId="0" applyBorder="1"/>
    <xf numFmtId="164" fontId="0" fillId="0" borderId="91" xfId="0" applyNumberFormat="1" applyFill="1" applyBorder="1"/>
    <xf numFmtId="164" fontId="0" fillId="0" borderId="88" xfId="0" applyNumberFormat="1" applyBorder="1"/>
    <xf numFmtId="164" fontId="0" fillId="0" borderId="87" xfId="0" applyNumberFormat="1" applyBorder="1"/>
    <xf numFmtId="164" fontId="0" fillId="43" borderId="0" xfId="0" applyNumberFormat="1" applyFill="1"/>
    <xf numFmtId="4" fontId="14" fillId="0" borderId="10" xfId="0" applyNumberFormat="1" applyFont="1" applyFill="1" applyBorder="1"/>
    <xf numFmtId="0" fontId="0" fillId="42" borderId="94" xfId="0" applyFill="1" applyBorder="1"/>
    <xf numFmtId="0" fontId="0" fillId="0" borderId="94" xfId="0" applyFill="1" applyBorder="1"/>
    <xf numFmtId="4" fontId="14" fillId="0" borderId="95" xfId="0" applyNumberFormat="1" applyFont="1" applyFill="1" applyBorder="1"/>
    <xf numFmtId="4" fontId="0" fillId="0" borderId="10" xfId="0" applyNumberFormat="1" applyFill="1" applyBorder="1"/>
    <xf numFmtId="4" fontId="0" fillId="0" borderId="10" xfId="0" applyNumberFormat="1" applyBorder="1"/>
    <xf numFmtId="0" fontId="20" fillId="43" borderId="26" xfId="0" applyFont="1" applyFill="1" applyBorder="1"/>
    <xf numFmtId="0" fontId="20" fillId="0" borderId="26" xfId="0" applyFont="1" applyFill="1" applyBorder="1"/>
    <xf numFmtId="0" fontId="20" fillId="42" borderId="23" xfId="0" applyFont="1" applyFill="1" applyBorder="1"/>
    <xf numFmtId="0" fontId="20" fillId="0" borderId="26" xfId="0" applyFont="1" applyBorder="1"/>
    <xf numFmtId="0" fontId="20" fillId="42" borderId="26" xfId="0" applyFont="1" applyFill="1" applyBorder="1"/>
    <xf numFmtId="0" fontId="0" fillId="43" borderId="0" xfId="0" applyFill="1"/>
    <xf numFmtId="0" fontId="0" fillId="0" borderId="22" xfId="0" applyFill="1" applyBorder="1"/>
    <xf numFmtId="0" fontId="0" fillId="0" borderId="23" xfId="0" applyFill="1" applyBorder="1"/>
    <xf numFmtId="0" fontId="0" fillId="0" borderId="24" xfId="0" applyFill="1" applyBorder="1"/>
    <xf numFmtId="0" fontId="0" fillId="0" borderId="79" xfId="0" applyFill="1" applyBorder="1"/>
    <xf numFmtId="0" fontId="0" fillId="0" borderId="80" xfId="0" applyFill="1" applyBorder="1"/>
    <xf numFmtId="0" fontId="0" fillId="0" borderId="81" xfId="0" applyFill="1" applyBorder="1"/>
    <xf numFmtId="0" fontId="0" fillId="0" borderId="84" xfId="0" applyFill="1" applyBorder="1"/>
    <xf numFmtId="0" fontId="0" fillId="0" borderId="85" xfId="0" applyFill="1" applyBorder="1"/>
    <xf numFmtId="0" fontId="0" fillId="0" borderId="86" xfId="0" applyFill="1" applyBorder="1"/>
    <xf numFmtId="0" fontId="0" fillId="0" borderId="0" xfId="0" applyFill="1" applyBorder="1"/>
    <xf numFmtId="4" fontId="14" fillId="0" borderId="0" xfId="0" applyNumberFormat="1" applyFont="1" applyFill="1" applyBorder="1"/>
    <xf numFmtId="0" fontId="0" fillId="40" borderId="0" xfId="0" applyFill="1" applyBorder="1"/>
    <xf numFmtId="4" fontId="14" fillId="40" borderId="0" xfId="0" applyNumberFormat="1" applyFont="1" applyFill="1" applyBorder="1"/>
    <xf numFmtId="0" fontId="14" fillId="40" borderId="0" xfId="0" applyFont="1" applyFill="1" applyBorder="1" applyAlignment="1">
      <alignment horizontal="center"/>
    </xf>
    <xf numFmtId="0" fontId="0" fillId="0" borderId="96" xfId="0" applyFill="1" applyBorder="1"/>
    <xf numFmtId="0" fontId="0" fillId="0" borderId="97" xfId="0" applyFill="1" applyBorder="1"/>
    <xf numFmtId="0" fontId="0" fillId="0" borderId="39" xfId="0" applyFill="1" applyBorder="1"/>
    <xf numFmtId="4" fontId="0" fillId="0" borderId="0" xfId="0" applyNumberFormat="1" applyFill="1" applyBorder="1"/>
    <xf numFmtId="0" fontId="0" fillId="47" borderId="47" xfId="0" applyFill="1" applyBorder="1"/>
    <xf numFmtId="0" fontId="0" fillId="48" borderId="47" xfId="0" applyFill="1" applyBorder="1"/>
    <xf numFmtId="0" fontId="21" fillId="0" borderId="0" xfId="0" applyFont="1" applyAlignment="1">
      <alignment horizontal="center"/>
    </xf>
    <xf numFmtId="4" fontId="21" fillId="0" borderId="0" xfId="0" applyNumberFormat="1" applyFont="1"/>
    <xf numFmtId="0" fontId="21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erekening" xfId="11" builtinId="22" customBuiltin="1"/>
    <cellStyle name="Controlecel" xfId="13" builtinId="23" customBuiltin="1"/>
    <cellStyle name="Gekoppelde cel" xfId="12" builtinId="24" customBuiltin="1"/>
    <cellStyle name="Goed" xfId="6" builtinId="26" customBuiltin="1"/>
    <cellStyle name="Invoer" xfId="9" builtinId="20" customBuiltin="1"/>
    <cellStyle name="Kop 1" xfId="2" builtinId="16" customBuiltin="1"/>
    <cellStyle name="Kop 2" xfId="3" builtinId="17" customBuiltin="1"/>
    <cellStyle name="Kop 3" xfId="4" builtinId="18" customBuiltin="1"/>
    <cellStyle name="Kop 4" xfId="5" builtinId="19" customBuiltin="1"/>
    <cellStyle name="Neutraal" xfId="8" builtinId="28" customBuiltin="1"/>
    <cellStyle name="Notitie" xfId="15" builtinId="10" customBuiltin="1"/>
    <cellStyle name="Ongeldig" xfId="7" builtinId="27" customBuiltin="1"/>
    <cellStyle name="Standaard" xfId="0" builtinId="0" customBuiltin="1"/>
    <cellStyle name="Titel" xfId="1" builtinId="15" customBuiltin="1"/>
    <cellStyle name="Totaal" xfId="17" builtinId="25" customBuiltin="1"/>
    <cellStyle name="Uitvoer" xfId="10" builtinId="21" customBuiltin="1"/>
    <cellStyle name="Verklarende tekst" xfId="16" builtinId="53" customBuiltin="1"/>
    <cellStyle name="Waarschuwingstekst" xfId="14" builtinId="11" customBuiltin="1"/>
  </cellStyles>
  <dxfs count="0"/>
  <tableStyles count="0" defaultTableStyle="TableStyleMedium2" defaultPivotStyle="PivotStyleLight16"/>
  <colors>
    <mruColors>
      <color rgb="FFD9E1F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"/>
  <sheetViews>
    <sheetView tabSelected="1" workbookViewId="0">
      <selection activeCell="F11" sqref="F11"/>
    </sheetView>
  </sheetViews>
  <sheetFormatPr defaultRowHeight="15" x14ac:dyDescent="0.25"/>
  <cols>
    <col min="1" max="1" width="15.7109375" bestFit="1" customWidth="1"/>
    <col min="2" max="2" width="9.140625" customWidth="1"/>
    <col min="3" max="3" width="13.7109375" bestFit="1" customWidth="1"/>
    <col min="4" max="4" width="9.140625" customWidth="1"/>
    <col min="5" max="5" width="12.5703125" bestFit="1" customWidth="1"/>
    <col min="6" max="6" width="10.140625" bestFit="1" customWidth="1"/>
    <col min="7" max="7" width="15.5703125" bestFit="1" customWidth="1"/>
    <col min="8" max="8" width="9.140625" customWidth="1"/>
  </cols>
  <sheetData>
    <row r="1" spans="1:7" ht="15.75" thickBot="1" x14ac:dyDescent="0.3">
      <c r="C1" s="1" t="s">
        <v>0</v>
      </c>
      <c r="E1" s="1" t="s">
        <v>1</v>
      </c>
      <c r="F1" t="s">
        <v>298</v>
      </c>
      <c r="G1" s="1" t="s">
        <v>2</v>
      </c>
    </row>
    <row r="2" spans="1:7" x14ac:dyDescent="0.25">
      <c r="A2" s="2" t="s">
        <v>3</v>
      </c>
      <c r="C2" s="3">
        <v>4000</v>
      </c>
      <c r="E2" s="3">
        <f>SUM(E10/100*F2)</f>
        <v>5272.8176840000006</v>
      </c>
      <c r="F2" s="22">
        <v>3.83</v>
      </c>
      <c r="G2" s="3">
        <f>SUM(E2+C2)</f>
        <v>9272.8176840000015</v>
      </c>
    </row>
    <row r="3" spans="1:7" x14ac:dyDescent="0.25">
      <c r="A3" s="4" t="s">
        <v>4</v>
      </c>
      <c r="C3" s="3">
        <v>8000</v>
      </c>
      <c r="E3" s="3">
        <f>SUM(E10/100*F3)</f>
        <v>8370.4259840000013</v>
      </c>
      <c r="F3" s="22">
        <v>6.08</v>
      </c>
      <c r="G3" s="3">
        <f>SUM(C3+E3)</f>
        <v>16370.425984000001</v>
      </c>
    </row>
    <row r="4" spans="1:7" x14ac:dyDescent="0.25">
      <c r="A4" s="5" t="s">
        <v>5</v>
      </c>
      <c r="C4" s="3">
        <v>40000</v>
      </c>
      <c r="E4" s="3">
        <f>SUM(E10/100*F4)</f>
        <v>37185.066748000005</v>
      </c>
      <c r="F4" s="22">
        <v>27.01</v>
      </c>
      <c r="G4" s="3">
        <f>SUM(E4+C4)</f>
        <v>77185.066748000012</v>
      </c>
    </row>
    <row r="5" spans="1:7" x14ac:dyDescent="0.25">
      <c r="A5" s="6" t="s">
        <v>6</v>
      </c>
      <c r="C5" s="3">
        <v>29500</v>
      </c>
      <c r="E5" s="3">
        <f>SUM(E10/100*F5)</f>
        <v>63645.525204000005</v>
      </c>
      <c r="F5" s="22">
        <v>46.23</v>
      </c>
      <c r="G5" s="3">
        <f t="shared" ref="G5" si="0">SUM(E5+C5)</f>
        <v>93145.525204000005</v>
      </c>
    </row>
    <row r="6" spans="1:7" ht="15.75" thickBot="1" x14ac:dyDescent="0.3">
      <c r="A6" s="7" t="s">
        <v>7</v>
      </c>
      <c r="C6" s="3">
        <v>6500</v>
      </c>
      <c r="E6" s="3">
        <f>SUM(E10/100*F6)</f>
        <v>23197.644380000005</v>
      </c>
      <c r="F6" s="34">
        <v>16.850000000000001</v>
      </c>
      <c r="G6" s="3">
        <f t="shared" ref="G6" si="1">SUM(C6+E6)</f>
        <v>29697.644380000005</v>
      </c>
    </row>
    <row r="7" spans="1:7" x14ac:dyDescent="0.25">
      <c r="A7" s="8" t="s">
        <v>8</v>
      </c>
      <c r="C7" s="3">
        <v>3500</v>
      </c>
      <c r="E7" s="3">
        <v>0</v>
      </c>
      <c r="G7" s="3">
        <f t="shared" ref="G7:G8" si="2">SUM(E7+C7)</f>
        <v>3500</v>
      </c>
    </row>
    <row r="8" spans="1:7" ht="15.75" thickBot="1" x14ac:dyDescent="0.3">
      <c r="A8" s="9" t="s">
        <v>9</v>
      </c>
      <c r="C8" s="3">
        <v>1000</v>
      </c>
      <c r="E8" s="3">
        <v>0</v>
      </c>
      <c r="G8" s="3">
        <f t="shared" si="2"/>
        <v>1000</v>
      </c>
    </row>
    <row r="9" spans="1:7" ht="15.75" thickBot="1" x14ac:dyDescent="0.3">
      <c r="E9" s="3"/>
    </row>
    <row r="10" spans="1:7" ht="15.75" thickBot="1" x14ac:dyDescent="0.3">
      <c r="A10" s="10" t="s">
        <v>10</v>
      </c>
      <c r="C10" s="11">
        <f>SUM(C2:C8)</f>
        <v>92500</v>
      </c>
      <c r="E10" s="11">
        <f>SUM(G10-C10)</f>
        <v>137671.48000000001</v>
      </c>
      <c r="F10" s="3"/>
      <c r="G10" s="11">
        <v>230171.48</v>
      </c>
    </row>
    <row r="11" spans="1:7" x14ac:dyDescent="0.25">
      <c r="E11" s="201">
        <f>SUM(E2:E6)</f>
        <v>137671.48000000001</v>
      </c>
    </row>
    <row r="12" spans="1:7" x14ac:dyDescent="0.25">
      <c r="E12" s="202"/>
    </row>
  </sheetData>
  <pageMargins left="0.70000000000000007" right="0.70000000000000007" top="0.75" bottom="0.75" header="0.30000000000000004" footer="0.30000000000000004"/>
  <pageSetup paperSize="9" fitToWidth="0" orientation="landscape" horizont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workbookViewId="0">
      <selection activeCell="B14" sqref="B14:F14"/>
    </sheetView>
  </sheetViews>
  <sheetFormatPr defaultRowHeight="15" x14ac:dyDescent="0.25"/>
  <cols>
    <col min="1" max="1" width="23.7109375" bestFit="1" customWidth="1"/>
    <col min="6" max="6" width="13.28515625" style="145" bestFit="1" customWidth="1"/>
  </cols>
  <sheetData>
    <row r="1" spans="1:7" ht="15.75" thickBot="1" x14ac:dyDescent="0.3">
      <c r="B1" s="159" t="s">
        <v>261</v>
      </c>
    </row>
    <row r="2" spans="1:7" ht="15.75" thickBot="1" x14ac:dyDescent="0.3">
      <c r="A2" s="160" t="s">
        <v>269</v>
      </c>
      <c r="B2" s="159" t="s">
        <v>259</v>
      </c>
      <c r="C2" s="159" t="s">
        <v>258</v>
      </c>
      <c r="D2" s="159" t="s">
        <v>257</v>
      </c>
      <c r="E2" s="161" t="s">
        <v>270</v>
      </c>
      <c r="F2" s="164" t="s">
        <v>272</v>
      </c>
    </row>
    <row r="3" spans="1:7" x14ac:dyDescent="0.25">
      <c r="A3" s="157" t="s">
        <v>143</v>
      </c>
      <c r="B3" s="157">
        <v>615</v>
      </c>
      <c r="C3" s="157">
        <v>715</v>
      </c>
      <c r="D3" s="157">
        <v>575</v>
      </c>
      <c r="E3" s="162">
        <f>SUM(B3:D3)</f>
        <v>1905</v>
      </c>
      <c r="F3" s="165">
        <f>SUM(E3/3)</f>
        <v>635</v>
      </c>
    </row>
    <row r="4" spans="1:7" x14ac:dyDescent="0.25">
      <c r="A4" s="156" t="s">
        <v>268</v>
      </c>
      <c r="B4" s="156">
        <v>1450</v>
      </c>
      <c r="C4" s="156">
        <v>1460</v>
      </c>
      <c r="D4" s="156">
        <v>1195</v>
      </c>
      <c r="E4" s="162">
        <f t="shared" ref="E4:E10" si="0">SUM(B4:D4)</f>
        <v>4105</v>
      </c>
      <c r="F4" s="165">
        <f>SUM(E4/3)</f>
        <v>1368.3333333333333</v>
      </c>
    </row>
    <row r="5" spans="1:7" x14ac:dyDescent="0.25">
      <c r="A5" s="156" t="s">
        <v>267</v>
      </c>
      <c r="B5" s="156">
        <v>750</v>
      </c>
      <c r="C5" s="156">
        <v>790</v>
      </c>
      <c r="D5" s="156">
        <v>840</v>
      </c>
      <c r="E5" s="162">
        <f t="shared" si="0"/>
        <v>2380</v>
      </c>
      <c r="F5" s="165">
        <f t="shared" ref="F5:F10" si="1">SUM(E5/3)</f>
        <v>793.33333333333337</v>
      </c>
    </row>
    <row r="6" spans="1:7" x14ac:dyDescent="0.25">
      <c r="A6" s="156" t="s">
        <v>266</v>
      </c>
      <c r="B6" s="156">
        <v>600</v>
      </c>
      <c r="C6" s="156">
        <v>725</v>
      </c>
      <c r="D6" s="156">
        <v>605</v>
      </c>
      <c r="E6" s="162">
        <f t="shared" si="0"/>
        <v>1930</v>
      </c>
      <c r="F6" s="165">
        <f t="shared" si="1"/>
        <v>643.33333333333337</v>
      </c>
    </row>
    <row r="7" spans="1:7" x14ac:dyDescent="0.25">
      <c r="A7" s="156" t="s">
        <v>265</v>
      </c>
      <c r="B7" s="156">
        <v>515</v>
      </c>
      <c r="C7" s="156">
        <v>590</v>
      </c>
      <c r="D7" s="156">
        <v>650</v>
      </c>
      <c r="E7" s="162">
        <f t="shared" si="0"/>
        <v>1755</v>
      </c>
      <c r="F7" s="165">
        <f t="shared" si="1"/>
        <v>585</v>
      </c>
    </row>
    <row r="8" spans="1:7" x14ac:dyDescent="0.25">
      <c r="A8" s="156" t="s">
        <v>264</v>
      </c>
      <c r="B8" s="156">
        <v>1235</v>
      </c>
      <c r="C8" s="156">
        <v>1350</v>
      </c>
      <c r="D8" s="156">
        <v>1350</v>
      </c>
      <c r="E8" s="162">
        <f t="shared" si="0"/>
        <v>3935</v>
      </c>
      <c r="F8" s="165">
        <f t="shared" si="1"/>
        <v>1311.6666666666667</v>
      </c>
    </row>
    <row r="9" spans="1:7" x14ac:dyDescent="0.25">
      <c r="A9" s="156" t="s">
        <v>263</v>
      </c>
      <c r="B9" s="156">
        <v>650</v>
      </c>
      <c r="C9" s="156">
        <v>690</v>
      </c>
      <c r="D9" s="156">
        <v>890</v>
      </c>
      <c r="E9" s="162">
        <f t="shared" si="0"/>
        <v>2230</v>
      </c>
      <c r="F9" s="165">
        <f t="shared" si="1"/>
        <v>743.33333333333337</v>
      </c>
    </row>
    <row r="10" spans="1:7" ht="15.75" thickBot="1" x14ac:dyDescent="0.3">
      <c r="A10" s="155" t="s">
        <v>262</v>
      </c>
      <c r="B10" s="155">
        <v>745</v>
      </c>
      <c r="C10" s="155">
        <v>870</v>
      </c>
      <c r="D10" s="155">
        <v>690</v>
      </c>
      <c r="E10" s="163">
        <f t="shared" si="0"/>
        <v>2305</v>
      </c>
      <c r="F10" s="166">
        <f t="shared" si="1"/>
        <v>768.33333333333337</v>
      </c>
    </row>
    <row r="11" spans="1:7" x14ac:dyDescent="0.25">
      <c r="F11" s="167">
        <f>SUM(F3:F10)</f>
        <v>6848.333333333333</v>
      </c>
    </row>
    <row r="12" spans="1:7" ht="15.75" thickBot="1" x14ac:dyDescent="0.3"/>
    <row r="13" spans="1:7" ht="15.75" thickBot="1" x14ac:dyDescent="0.3">
      <c r="B13" s="159" t="s">
        <v>261</v>
      </c>
    </row>
    <row r="14" spans="1:7" ht="15.75" thickBot="1" x14ac:dyDescent="0.3">
      <c r="A14" s="159" t="s">
        <v>260</v>
      </c>
      <c r="B14" s="160" t="s">
        <v>259</v>
      </c>
      <c r="C14" s="159" t="s">
        <v>258</v>
      </c>
      <c r="D14" s="158" t="s">
        <v>257</v>
      </c>
      <c r="E14" s="161" t="s">
        <v>270</v>
      </c>
      <c r="F14" s="164" t="s">
        <v>271</v>
      </c>
    </row>
    <row r="15" spans="1:7" x14ac:dyDescent="0.25">
      <c r="A15" s="157" t="s">
        <v>256</v>
      </c>
      <c r="B15" s="157">
        <v>465</v>
      </c>
      <c r="C15" s="157">
        <v>445</v>
      </c>
      <c r="D15" s="157">
        <v>585</v>
      </c>
      <c r="E15" s="156">
        <f>SUM(B15:D15)</f>
        <v>1495</v>
      </c>
      <c r="F15" s="165">
        <f>SUM(E15/3)</f>
        <v>498.33333333333331</v>
      </c>
      <c r="G15" s="145"/>
    </row>
    <row r="16" spans="1:7" x14ac:dyDescent="0.25">
      <c r="A16" s="156" t="s">
        <v>255</v>
      </c>
      <c r="B16" s="156">
        <v>480</v>
      </c>
      <c r="C16" s="156">
        <v>520</v>
      </c>
      <c r="D16" s="156">
        <v>385</v>
      </c>
      <c r="E16" s="156">
        <f t="shared" ref="E16:E23" si="2">SUM(B16:D16)</f>
        <v>1385</v>
      </c>
      <c r="F16" s="165">
        <f t="shared" ref="F16:F23" si="3">SUM(E16/3)</f>
        <v>461.66666666666669</v>
      </c>
      <c r="G16" s="145"/>
    </row>
    <row r="17" spans="1:7" x14ac:dyDescent="0.25">
      <c r="A17" s="156" t="s">
        <v>234</v>
      </c>
      <c r="B17" s="156">
        <v>825</v>
      </c>
      <c r="C17" s="156">
        <v>905</v>
      </c>
      <c r="D17" s="156">
        <v>780</v>
      </c>
      <c r="E17" s="156">
        <f t="shared" si="2"/>
        <v>2510</v>
      </c>
      <c r="F17" s="165">
        <f t="shared" si="3"/>
        <v>836.66666666666663</v>
      </c>
      <c r="G17" s="145"/>
    </row>
    <row r="18" spans="1:7" x14ac:dyDescent="0.25">
      <c r="A18" s="156" t="s">
        <v>235</v>
      </c>
      <c r="B18" s="156">
        <v>740</v>
      </c>
      <c r="C18" s="156">
        <v>735</v>
      </c>
      <c r="D18" s="156">
        <v>565</v>
      </c>
      <c r="E18" s="156">
        <f t="shared" si="2"/>
        <v>2040</v>
      </c>
      <c r="F18" s="165">
        <f t="shared" si="3"/>
        <v>680</v>
      </c>
      <c r="G18" s="145"/>
    </row>
    <row r="19" spans="1:7" x14ac:dyDescent="0.25">
      <c r="A19" s="156" t="s">
        <v>254</v>
      </c>
      <c r="B19" s="156">
        <v>705</v>
      </c>
      <c r="C19" s="156"/>
      <c r="D19" s="156"/>
      <c r="E19" s="156">
        <f t="shared" si="2"/>
        <v>705</v>
      </c>
      <c r="F19" s="165">
        <f t="shared" si="3"/>
        <v>235</v>
      </c>
      <c r="G19" s="145"/>
    </row>
    <row r="20" spans="1:7" x14ac:dyDescent="0.25">
      <c r="A20" s="156" t="s">
        <v>236</v>
      </c>
      <c r="B20" s="156">
        <v>475</v>
      </c>
      <c r="C20" s="156">
        <v>680</v>
      </c>
      <c r="D20" s="156">
        <v>440</v>
      </c>
      <c r="E20" s="156">
        <f t="shared" si="2"/>
        <v>1595</v>
      </c>
      <c r="F20" s="165">
        <f t="shared" si="3"/>
        <v>531.66666666666663</v>
      </c>
      <c r="G20" s="145"/>
    </row>
    <row r="21" spans="1:7" x14ac:dyDescent="0.25">
      <c r="A21" s="156" t="s">
        <v>237</v>
      </c>
      <c r="B21" s="156">
        <v>705</v>
      </c>
      <c r="C21" s="156">
        <v>565</v>
      </c>
      <c r="D21" s="156">
        <v>605</v>
      </c>
      <c r="E21" s="156">
        <f t="shared" si="2"/>
        <v>1875</v>
      </c>
      <c r="F21" s="165">
        <f t="shared" si="3"/>
        <v>625</v>
      </c>
      <c r="G21" s="145"/>
    </row>
    <row r="22" spans="1:7" x14ac:dyDescent="0.25">
      <c r="A22" s="156" t="s">
        <v>238</v>
      </c>
      <c r="B22" s="156">
        <v>735</v>
      </c>
      <c r="C22" s="156">
        <v>955</v>
      </c>
      <c r="D22" s="156">
        <v>895</v>
      </c>
      <c r="E22" s="156">
        <f t="shared" si="2"/>
        <v>2585</v>
      </c>
      <c r="F22" s="165">
        <f t="shared" si="3"/>
        <v>861.66666666666663</v>
      </c>
      <c r="G22" s="145"/>
    </row>
    <row r="23" spans="1:7" ht="15.75" thickBot="1" x14ac:dyDescent="0.3">
      <c r="A23" s="155" t="s">
        <v>253</v>
      </c>
      <c r="B23" s="155">
        <v>785</v>
      </c>
      <c r="C23" s="155">
        <v>730</v>
      </c>
      <c r="D23" s="155">
        <v>745</v>
      </c>
      <c r="E23" s="155">
        <f t="shared" si="2"/>
        <v>2260</v>
      </c>
      <c r="F23" s="166">
        <f t="shared" si="3"/>
        <v>753.33333333333337</v>
      </c>
      <c r="G23" s="145"/>
    </row>
    <row r="24" spans="1:7" x14ac:dyDescent="0.25">
      <c r="F24" s="167">
        <f>SUM(F15:F23)</f>
        <v>5483.333333333333</v>
      </c>
      <c r="G24" s="145"/>
    </row>
    <row r="25" spans="1:7" x14ac:dyDescent="0.25">
      <c r="G25" s="145"/>
    </row>
    <row r="26" spans="1:7" x14ac:dyDescent="0.25">
      <c r="G26" s="145"/>
    </row>
    <row r="27" spans="1:7" x14ac:dyDescent="0.25">
      <c r="G27" s="145"/>
    </row>
    <row r="28" spans="1:7" x14ac:dyDescent="0.25">
      <c r="G28" s="145"/>
    </row>
    <row r="29" spans="1:7" x14ac:dyDescent="0.25">
      <c r="G29" s="145"/>
    </row>
    <row r="30" spans="1:7" x14ac:dyDescent="0.25">
      <c r="G30" s="145"/>
    </row>
  </sheetData>
  <pageMargins left="0.7" right="0.7" top="0.75" bottom="0.75" header="0.3" footer="0.3"/>
  <pageSetup paperSize="8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2"/>
  <sheetViews>
    <sheetView topLeftCell="A13" workbookViewId="0">
      <selection activeCell="H31" sqref="H31"/>
    </sheetView>
  </sheetViews>
  <sheetFormatPr defaultRowHeight="15" x14ac:dyDescent="0.25"/>
  <cols>
    <col min="1" max="1" width="8.140625" bestFit="1" customWidth="1"/>
    <col min="2" max="2" width="19.140625" bestFit="1" customWidth="1"/>
    <col min="3" max="3" width="54.28515625" bestFit="1" customWidth="1"/>
    <col min="8" max="8" width="12.85546875" bestFit="1" customWidth="1"/>
  </cols>
  <sheetData>
    <row r="1" spans="1:8" ht="15.75" thickBot="1" x14ac:dyDescent="0.3"/>
    <row r="2" spans="1:8" ht="16.5" thickTop="1" thickBot="1" x14ac:dyDescent="0.3">
      <c r="A2" s="16"/>
      <c r="B2" s="17" t="s">
        <v>15</v>
      </c>
      <c r="C2" s="18" t="s">
        <v>16</v>
      </c>
      <c r="D2" s="160" t="s">
        <v>259</v>
      </c>
      <c r="E2" s="159" t="s">
        <v>258</v>
      </c>
      <c r="F2" s="158" t="s">
        <v>257</v>
      </c>
      <c r="G2" s="161" t="s">
        <v>270</v>
      </c>
      <c r="H2" s="164" t="s">
        <v>271</v>
      </c>
    </row>
    <row r="3" spans="1:8" s="39" customFormat="1" x14ac:dyDescent="0.25">
      <c r="A3" s="116" t="s">
        <v>34</v>
      </c>
      <c r="B3" s="72" t="s">
        <v>19</v>
      </c>
      <c r="C3" s="117" t="s">
        <v>154</v>
      </c>
      <c r="D3" s="39">
        <v>1370</v>
      </c>
      <c r="E3" s="39">
        <v>960</v>
      </c>
      <c r="F3" s="39">
        <v>920</v>
      </c>
      <c r="G3" s="39">
        <f>SUM(D3+E3+F3)</f>
        <v>3250</v>
      </c>
      <c r="H3" s="39">
        <f>SUM(G3/3)</f>
        <v>1083.3333333333333</v>
      </c>
    </row>
    <row r="4" spans="1:8" s="39" customFormat="1" ht="15.75" thickBot="1" x14ac:dyDescent="0.3">
      <c r="A4" s="116" t="s">
        <v>34</v>
      </c>
      <c r="B4" s="72" t="s">
        <v>19</v>
      </c>
      <c r="C4" s="117" t="s">
        <v>157</v>
      </c>
      <c r="D4" s="39">
        <v>455</v>
      </c>
      <c r="E4" s="39">
        <v>280</v>
      </c>
      <c r="F4" s="39">
        <v>330</v>
      </c>
      <c r="G4" s="39">
        <f t="shared" ref="G4:G66" si="0">SUM(D4+E4+F4)</f>
        <v>1065</v>
      </c>
      <c r="H4" s="39">
        <f t="shared" ref="H4:H66" si="1">SUM(G4/3)</f>
        <v>355</v>
      </c>
    </row>
    <row r="5" spans="1:8" s="39" customFormat="1" x14ac:dyDescent="0.25">
      <c r="A5" s="180" t="s">
        <v>18</v>
      </c>
      <c r="B5" s="181" t="s">
        <v>19</v>
      </c>
      <c r="C5" s="182" t="s">
        <v>20</v>
      </c>
      <c r="D5" s="39">
        <v>1700</v>
      </c>
      <c r="E5" s="39">
        <v>1640</v>
      </c>
      <c r="F5" s="39">
        <v>1585</v>
      </c>
      <c r="G5" s="39">
        <f t="shared" si="0"/>
        <v>4925</v>
      </c>
      <c r="H5" s="39">
        <f t="shared" si="1"/>
        <v>1641.6666666666667</v>
      </c>
    </row>
    <row r="6" spans="1:8" s="39" customFormat="1" x14ac:dyDescent="0.25">
      <c r="A6" s="121" t="s">
        <v>18</v>
      </c>
      <c r="B6" s="72" t="s">
        <v>19</v>
      </c>
      <c r="C6" s="122" t="s">
        <v>21</v>
      </c>
      <c r="D6" s="39">
        <v>200</v>
      </c>
      <c r="E6" s="39">
        <v>150</v>
      </c>
      <c r="F6" s="39">
        <v>0</v>
      </c>
      <c r="G6" s="39">
        <f t="shared" si="0"/>
        <v>350</v>
      </c>
      <c r="H6" s="39">
        <f t="shared" si="1"/>
        <v>116.66666666666667</v>
      </c>
    </row>
    <row r="7" spans="1:8" s="39" customFormat="1" x14ac:dyDescent="0.25">
      <c r="A7" s="121" t="s">
        <v>18</v>
      </c>
      <c r="B7" s="72" t="s">
        <v>19</v>
      </c>
      <c r="C7" s="122" t="s">
        <v>22</v>
      </c>
      <c r="D7" s="39">
        <v>590</v>
      </c>
      <c r="E7" s="39">
        <v>590</v>
      </c>
      <c r="F7" s="39">
        <v>520</v>
      </c>
      <c r="G7" s="39">
        <f t="shared" si="0"/>
        <v>1700</v>
      </c>
      <c r="H7" s="39">
        <f t="shared" si="1"/>
        <v>566.66666666666663</v>
      </c>
    </row>
    <row r="8" spans="1:8" s="39" customFormat="1" x14ac:dyDescent="0.25">
      <c r="A8" s="121" t="s">
        <v>18</v>
      </c>
      <c r="B8" s="72" t="s">
        <v>19</v>
      </c>
      <c r="C8" s="122" t="s">
        <v>23</v>
      </c>
      <c r="D8" s="39">
        <v>575</v>
      </c>
      <c r="E8" s="39">
        <v>605</v>
      </c>
      <c r="F8" s="39">
        <v>630</v>
      </c>
      <c r="G8" s="39">
        <f t="shared" si="0"/>
        <v>1810</v>
      </c>
      <c r="H8" s="39">
        <f t="shared" si="1"/>
        <v>603.33333333333337</v>
      </c>
    </row>
    <row r="9" spans="1:8" s="39" customFormat="1" x14ac:dyDescent="0.25">
      <c r="A9" s="121" t="s">
        <v>18</v>
      </c>
      <c r="B9" s="72" t="s">
        <v>19</v>
      </c>
      <c r="C9" s="122" t="s">
        <v>24</v>
      </c>
      <c r="D9" s="39">
        <v>535</v>
      </c>
      <c r="E9" s="39">
        <v>1075</v>
      </c>
      <c r="F9" s="39">
        <v>1120</v>
      </c>
      <c r="G9" s="39">
        <f t="shared" si="0"/>
        <v>2730</v>
      </c>
      <c r="H9" s="39">
        <f t="shared" si="1"/>
        <v>910</v>
      </c>
    </row>
    <row r="10" spans="1:8" s="39" customFormat="1" x14ac:dyDescent="0.25">
      <c r="A10" s="121" t="s">
        <v>18</v>
      </c>
      <c r="B10" s="72" t="s">
        <v>19</v>
      </c>
      <c r="C10" s="122" t="s">
        <v>25</v>
      </c>
      <c r="D10" s="39">
        <v>0</v>
      </c>
      <c r="E10" s="39">
        <v>0</v>
      </c>
      <c r="F10" s="39">
        <v>0</v>
      </c>
      <c r="G10" s="39">
        <f t="shared" si="0"/>
        <v>0</v>
      </c>
      <c r="H10" s="39">
        <f t="shared" si="1"/>
        <v>0</v>
      </c>
    </row>
    <row r="11" spans="1:8" s="39" customFormat="1" x14ac:dyDescent="0.25">
      <c r="A11" s="121" t="s">
        <v>18</v>
      </c>
      <c r="B11" s="72" t="s">
        <v>19</v>
      </c>
      <c r="C11" s="122" t="s">
        <v>26</v>
      </c>
      <c r="D11" s="39">
        <v>870</v>
      </c>
      <c r="E11" s="39">
        <v>920</v>
      </c>
      <c r="F11" s="39">
        <v>935</v>
      </c>
      <c r="G11" s="39">
        <f t="shared" si="0"/>
        <v>2725</v>
      </c>
      <c r="H11" s="39">
        <f t="shared" si="1"/>
        <v>908.33333333333337</v>
      </c>
    </row>
    <row r="12" spans="1:8" s="39" customFormat="1" x14ac:dyDescent="0.25">
      <c r="A12" s="121" t="s">
        <v>18</v>
      </c>
      <c r="B12" s="72" t="s">
        <v>19</v>
      </c>
      <c r="C12" s="122" t="s">
        <v>28</v>
      </c>
      <c r="D12" s="39">
        <v>940</v>
      </c>
      <c r="E12" s="39">
        <v>965</v>
      </c>
      <c r="F12" s="39">
        <v>960</v>
      </c>
      <c r="G12" s="39">
        <f t="shared" si="0"/>
        <v>2865</v>
      </c>
      <c r="H12" s="39">
        <f t="shared" si="1"/>
        <v>955</v>
      </c>
    </row>
    <row r="13" spans="1:8" s="39" customFormat="1" x14ac:dyDescent="0.25">
      <c r="A13" s="121" t="s">
        <v>18</v>
      </c>
      <c r="B13" s="72" t="s">
        <v>19</v>
      </c>
      <c r="C13" s="122" t="s">
        <v>62</v>
      </c>
      <c r="D13" s="39">
        <v>0</v>
      </c>
      <c r="E13" s="39">
        <v>715</v>
      </c>
      <c r="F13" s="39">
        <v>370</v>
      </c>
      <c r="G13" s="39">
        <f>SUM(D13+E13+F13)</f>
        <v>1085</v>
      </c>
      <c r="H13" s="39">
        <f>SUM(G13/3)</f>
        <v>361.66666666666669</v>
      </c>
    </row>
    <row r="14" spans="1:8" s="39" customFormat="1" x14ac:dyDescent="0.25">
      <c r="A14" s="121" t="s">
        <v>18</v>
      </c>
      <c r="B14" s="72" t="s">
        <v>29</v>
      </c>
      <c r="C14" s="122" t="s">
        <v>30</v>
      </c>
      <c r="D14" s="39">
        <v>0</v>
      </c>
      <c r="E14" s="39">
        <v>0</v>
      </c>
      <c r="F14" s="39">
        <v>0</v>
      </c>
      <c r="G14" s="39">
        <f>SUM(D14+E14+F14)</f>
        <v>0</v>
      </c>
      <c r="H14" s="39">
        <f>SUM(G14/3)</f>
        <v>0</v>
      </c>
    </row>
    <row r="15" spans="1:8" s="39" customFormat="1" x14ac:dyDescent="0.25">
      <c r="A15" s="121" t="s">
        <v>18</v>
      </c>
      <c r="B15" s="72" t="s">
        <v>29</v>
      </c>
      <c r="C15" s="122" t="s">
        <v>31</v>
      </c>
      <c r="D15" s="39">
        <v>0</v>
      </c>
      <c r="E15" s="39">
        <v>0</v>
      </c>
      <c r="F15" s="39">
        <v>0</v>
      </c>
      <c r="G15" s="39">
        <f>SUM(D15+E15+F15)</f>
        <v>0</v>
      </c>
      <c r="H15" s="39">
        <f>SUM(G15/3)</f>
        <v>0</v>
      </c>
    </row>
    <row r="16" spans="1:8" s="39" customFormat="1" x14ac:dyDescent="0.25">
      <c r="A16" s="121" t="s">
        <v>34</v>
      </c>
      <c r="B16" s="72" t="s">
        <v>29</v>
      </c>
      <c r="C16" s="122" t="s">
        <v>35</v>
      </c>
      <c r="D16" s="39">
        <v>0</v>
      </c>
      <c r="E16" s="39">
        <v>0</v>
      </c>
      <c r="F16" s="39">
        <v>0</v>
      </c>
      <c r="G16" s="39">
        <f>SUM(D16+E16+F16)</f>
        <v>0</v>
      </c>
      <c r="H16" s="39">
        <f>SUM(G16/3)</f>
        <v>0</v>
      </c>
    </row>
    <row r="17" spans="1:8" s="39" customFormat="1" x14ac:dyDescent="0.25">
      <c r="A17" s="121" t="s">
        <v>34</v>
      </c>
      <c r="B17" s="72" t="s">
        <v>29</v>
      </c>
      <c r="C17" s="122" t="s">
        <v>39</v>
      </c>
      <c r="D17" s="39">
        <v>0</v>
      </c>
      <c r="E17" s="39">
        <v>0</v>
      </c>
      <c r="F17" s="39">
        <v>0</v>
      </c>
      <c r="G17" s="39">
        <f t="shared" si="0"/>
        <v>0</v>
      </c>
      <c r="H17" s="39">
        <f t="shared" si="1"/>
        <v>0</v>
      </c>
    </row>
    <row r="18" spans="1:8" s="39" customFormat="1" x14ac:dyDescent="0.25">
      <c r="A18" s="121" t="s">
        <v>34</v>
      </c>
      <c r="B18" s="72" t="s">
        <v>41</v>
      </c>
      <c r="C18" s="122" t="s">
        <v>42</v>
      </c>
      <c r="D18" s="39">
        <v>0</v>
      </c>
      <c r="E18" s="39">
        <v>0</v>
      </c>
      <c r="F18" s="39">
        <v>0</v>
      </c>
      <c r="G18" s="39">
        <f t="shared" si="0"/>
        <v>0</v>
      </c>
      <c r="H18" s="39">
        <f t="shared" si="1"/>
        <v>0</v>
      </c>
    </row>
    <row r="19" spans="1:8" s="39" customFormat="1" x14ac:dyDescent="0.25">
      <c r="A19" s="121" t="s">
        <v>18</v>
      </c>
      <c r="B19" s="72" t="s">
        <v>41</v>
      </c>
      <c r="C19" s="122" t="s">
        <v>44</v>
      </c>
      <c r="D19" s="39">
        <v>0</v>
      </c>
      <c r="E19" s="39">
        <v>0</v>
      </c>
      <c r="F19" s="39">
        <v>0</v>
      </c>
      <c r="G19" s="39">
        <f t="shared" si="0"/>
        <v>0</v>
      </c>
      <c r="H19" s="39">
        <f t="shared" si="1"/>
        <v>0</v>
      </c>
    </row>
    <row r="20" spans="1:8" s="39" customFormat="1" x14ac:dyDescent="0.25">
      <c r="A20" s="121" t="s">
        <v>18</v>
      </c>
      <c r="B20" s="72" t="s">
        <v>41</v>
      </c>
      <c r="C20" s="122" t="s">
        <v>46</v>
      </c>
      <c r="D20" s="39">
        <v>0</v>
      </c>
      <c r="E20" s="39">
        <v>0</v>
      </c>
      <c r="F20" s="39">
        <v>0</v>
      </c>
      <c r="G20" s="39">
        <f t="shared" si="0"/>
        <v>0</v>
      </c>
      <c r="H20" s="39">
        <f t="shared" si="1"/>
        <v>0</v>
      </c>
    </row>
    <row r="21" spans="1:8" s="39" customFormat="1" x14ac:dyDescent="0.25">
      <c r="A21" s="121" t="s">
        <v>18</v>
      </c>
      <c r="B21" s="72" t="s">
        <v>41</v>
      </c>
      <c r="C21" s="122" t="s">
        <v>48</v>
      </c>
      <c r="D21" s="39">
        <v>0</v>
      </c>
      <c r="E21" s="39">
        <v>0</v>
      </c>
      <c r="F21" s="39">
        <v>0</v>
      </c>
      <c r="G21" s="39">
        <f t="shared" si="0"/>
        <v>0</v>
      </c>
      <c r="H21" s="39">
        <f t="shared" si="1"/>
        <v>0</v>
      </c>
    </row>
    <row r="22" spans="1:8" s="39" customFormat="1" x14ac:dyDescent="0.25">
      <c r="A22" s="121" t="s">
        <v>18</v>
      </c>
      <c r="B22" s="72" t="s">
        <v>41</v>
      </c>
      <c r="C22" s="122" t="s">
        <v>50</v>
      </c>
      <c r="D22" s="39">
        <v>0</v>
      </c>
      <c r="E22" s="39">
        <v>0</v>
      </c>
      <c r="F22" s="39">
        <v>0</v>
      </c>
      <c r="G22" s="39">
        <f t="shared" si="0"/>
        <v>0</v>
      </c>
      <c r="H22" s="39">
        <f t="shared" si="1"/>
        <v>0</v>
      </c>
    </row>
    <row r="23" spans="1:8" s="39" customFormat="1" x14ac:dyDescent="0.25">
      <c r="A23" s="121" t="s">
        <v>18</v>
      </c>
      <c r="B23" s="72" t="s">
        <v>41</v>
      </c>
      <c r="C23" s="122" t="s">
        <v>52</v>
      </c>
      <c r="D23" s="39">
        <v>0</v>
      </c>
      <c r="E23" s="39">
        <v>0</v>
      </c>
      <c r="F23" s="39">
        <v>0</v>
      </c>
      <c r="G23" s="39">
        <f t="shared" si="0"/>
        <v>0</v>
      </c>
      <c r="H23" s="39">
        <f t="shared" si="1"/>
        <v>0</v>
      </c>
    </row>
    <row r="24" spans="1:8" s="39" customFormat="1" x14ac:dyDescent="0.25">
      <c r="A24" s="121" t="s">
        <v>18</v>
      </c>
      <c r="B24" s="72" t="s">
        <v>41</v>
      </c>
      <c r="C24" s="122" t="s">
        <v>53</v>
      </c>
      <c r="D24" s="39">
        <v>0</v>
      </c>
      <c r="E24" s="39">
        <v>0</v>
      </c>
      <c r="F24" s="39">
        <v>0</v>
      </c>
      <c r="G24" s="39">
        <f t="shared" si="0"/>
        <v>0</v>
      </c>
      <c r="H24" s="39">
        <f t="shared" si="1"/>
        <v>0</v>
      </c>
    </row>
    <row r="25" spans="1:8" s="39" customFormat="1" x14ac:dyDescent="0.25">
      <c r="A25" s="121" t="s">
        <v>18</v>
      </c>
      <c r="B25" s="72" t="s">
        <v>41</v>
      </c>
      <c r="C25" s="122" t="s">
        <v>54</v>
      </c>
      <c r="D25" s="39">
        <v>0</v>
      </c>
      <c r="E25" s="39">
        <v>0</v>
      </c>
      <c r="F25" s="39">
        <v>0</v>
      </c>
      <c r="G25" s="39">
        <f t="shared" si="0"/>
        <v>0</v>
      </c>
      <c r="H25" s="39">
        <f t="shared" si="1"/>
        <v>0</v>
      </c>
    </row>
    <row r="26" spans="1:8" s="39" customFormat="1" x14ac:dyDescent="0.25">
      <c r="A26" s="121" t="s">
        <v>18</v>
      </c>
      <c r="B26" s="72" t="s">
        <v>41</v>
      </c>
      <c r="C26" s="122" t="s">
        <v>55</v>
      </c>
      <c r="D26" s="39">
        <v>0</v>
      </c>
      <c r="E26" s="39">
        <v>0</v>
      </c>
      <c r="F26" s="39">
        <v>0</v>
      </c>
      <c r="G26" s="39">
        <f t="shared" si="0"/>
        <v>0</v>
      </c>
      <c r="H26" s="39">
        <f t="shared" si="1"/>
        <v>0</v>
      </c>
    </row>
    <row r="27" spans="1:8" s="39" customFormat="1" x14ac:dyDescent="0.25">
      <c r="A27" s="121" t="s">
        <v>18</v>
      </c>
      <c r="B27" s="72" t="s">
        <v>41</v>
      </c>
      <c r="C27" s="122" t="s">
        <v>56</v>
      </c>
      <c r="D27" s="39">
        <v>0</v>
      </c>
      <c r="E27" s="39">
        <v>0</v>
      </c>
      <c r="F27" s="39">
        <v>0</v>
      </c>
      <c r="G27" s="39">
        <f t="shared" si="0"/>
        <v>0</v>
      </c>
      <c r="H27" s="39">
        <f t="shared" si="1"/>
        <v>0</v>
      </c>
    </row>
    <row r="28" spans="1:8" s="39" customFormat="1" x14ac:dyDescent="0.25">
      <c r="A28" s="121" t="s">
        <v>18</v>
      </c>
      <c r="B28" s="72" t="s">
        <v>57</v>
      </c>
      <c r="C28" s="122" t="s">
        <v>58</v>
      </c>
      <c r="D28" s="39">
        <v>260</v>
      </c>
      <c r="E28" s="39">
        <v>375</v>
      </c>
      <c r="F28" s="39">
        <v>415</v>
      </c>
      <c r="G28" s="39">
        <f t="shared" si="0"/>
        <v>1050</v>
      </c>
      <c r="H28" s="39">
        <f t="shared" si="1"/>
        <v>350</v>
      </c>
    </row>
    <row r="29" spans="1:8" s="39" customFormat="1" x14ac:dyDescent="0.25">
      <c r="A29" s="121" t="s">
        <v>18</v>
      </c>
      <c r="B29" s="72" t="s">
        <v>57</v>
      </c>
      <c r="C29" s="122" t="s">
        <v>59</v>
      </c>
      <c r="D29" s="39">
        <v>650</v>
      </c>
      <c r="E29" s="39">
        <v>690</v>
      </c>
      <c r="F29" s="39">
        <v>655</v>
      </c>
      <c r="G29" s="39">
        <f t="shared" si="0"/>
        <v>1995</v>
      </c>
      <c r="H29" s="39">
        <f t="shared" si="1"/>
        <v>665</v>
      </c>
    </row>
    <row r="30" spans="1:8" s="39" customFormat="1" x14ac:dyDescent="0.25">
      <c r="A30" s="121" t="s">
        <v>18</v>
      </c>
      <c r="B30" s="72" t="s">
        <v>57</v>
      </c>
      <c r="C30" s="122" t="s">
        <v>60</v>
      </c>
      <c r="D30" s="39">
        <v>985</v>
      </c>
      <c r="E30" s="39">
        <v>1085</v>
      </c>
      <c r="F30" s="39">
        <v>1140</v>
      </c>
      <c r="G30" s="39">
        <f t="shared" si="0"/>
        <v>3210</v>
      </c>
      <c r="H30" s="39">
        <f t="shared" si="1"/>
        <v>1070</v>
      </c>
    </row>
    <row r="31" spans="1:8" s="39" customFormat="1" x14ac:dyDescent="0.25">
      <c r="A31" s="121" t="s">
        <v>18</v>
      </c>
      <c r="B31" s="72" t="s">
        <v>57</v>
      </c>
      <c r="C31" s="122" t="s">
        <v>61</v>
      </c>
      <c r="D31" s="39">
        <v>0</v>
      </c>
      <c r="E31" s="39">
        <v>0</v>
      </c>
      <c r="F31" s="39">
        <v>635</v>
      </c>
      <c r="G31" s="39">
        <f t="shared" si="0"/>
        <v>635</v>
      </c>
      <c r="H31" s="39">
        <f>SUM(G31/3)</f>
        <v>211.66666666666666</v>
      </c>
    </row>
    <row r="32" spans="1:8" s="39" customFormat="1" x14ac:dyDescent="0.25">
      <c r="A32" s="121" t="s">
        <v>18</v>
      </c>
      <c r="B32" s="72" t="s">
        <v>243</v>
      </c>
      <c r="C32" s="122" t="s">
        <v>63</v>
      </c>
      <c r="D32" s="39">
        <v>0</v>
      </c>
      <c r="E32" s="39">
        <v>0</v>
      </c>
      <c r="F32" s="39">
        <v>0</v>
      </c>
      <c r="G32" s="39">
        <f t="shared" si="0"/>
        <v>0</v>
      </c>
      <c r="H32" s="39">
        <f t="shared" si="1"/>
        <v>0</v>
      </c>
    </row>
    <row r="33" spans="1:8" s="39" customFormat="1" x14ac:dyDescent="0.25">
      <c r="A33" s="121" t="s">
        <v>18</v>
      </c>
      <c r="B33" s="72" t="s">
        <v>243</v>
      </c>
      <c r="C33" s="122" t="s">
        <v>64</v>
      </c>
      <c r="D33" s="39">
        <v>0</v>
      </c>
      <c r="E33" s="39">
        <v>0</v>
      </c>
      <c r="F33" s="39">
        <v>0</v>
      </c>
      <c r="G33" s="39">
        <f t="shared" si="0"/>
        <v>0</v>
      </c>
      <c r="H33" s="39">
        <f t="shared" si="1"/>
        <v>0</v>
      </c>
    </row>
    <row r="34" spans="1:8" s="39" customFormat="1" x14ac:dyDescent="0.25">
      <c r="A34" s="121" t="s">
        <v>18</v>
      </c>
      <c r="B34" s="72" t="s">
        <v>243</v>
      </c>
      <c r="C34" s="122" t="s">
        <v>65</v>
      </c>
      <c r="D34" s="39">
        <v>0</v>
      </c>
      <c r="E34" s="39">
        <v>0</v>
      </c>
      <c r="F34" s="39">
        <v>0</v>
      </c>
      <c r="G34" s="39">
        <f t="shared" si="0"/>
        <v>0</v>
      </c>
      <c r="H34" s="39">
        <f t="shared" si="1"/>
        <v>0</v>
      </c>
    </row>
    <row r="35" spans="1:8" s="39" customFormat="1" x14ac:dyDescent="0.25">
      <c r="A35" s="121" t="s">
        <v>18</v>
      </c>
      <c r="B35" s="72" t="s">
        <v>243</v>
      </c>
      <c r="C35" s="122" t="s">
        <v>66</v>
      </c>
      <c r="D35" s="39">
        <v>0</v>
      </c>
      <c r="E35" s="39">
        <v>0</v>
      </c>
      <c r="F35" s="39">
        <v>0</v>
      </c>
      <c r="G35" s="39">
        <f t="shared" si="0"/>
        <v>0</v>
      </c>
      <c r="H35" s="39">
        <f t="shared" si="1"/>
        <v>0</v>
      </c>
    </row>
    <row r="36" spans="1:8" s="39" customFormat="1" x14ac:dyDescent="0.25">
      <c r="A36" s="121" t="s">
        <v>18</v>
      </c>
      <c r="B36" s="72" t="s">
        <v>243</v>
      </c>
      <c r="C36" s="122" t="s">
        <v>67</v>
      </c>
      <c r="D36" s="39">
        <v>0</v>
      </c>
      <c r="E36" s="39">
        <v>0</v>
      </c>
      <c r="F36" s="39">
        <v>0</v>
      </c>
      <c r="G36" s="39">
        <f t="shared" si="0"/>
        <v>0</v>
      </c>
      <c r="H36" s="39">
        <f t="shared" si="1"/>
        <v>0</v>
      </c>
    </row>
    <row r="37" spans="1:8" s="39" customFormat="1" x14ac:dyDescent="0.25">
      <c r="A37" s="121" t="s">
        <v>18</v>
      </c>
      <c r="B37" s="72" t="s">
        <v>243</v>
      </c>
      <c r="C37" s="122" t="s">
        <v>68</v>
      </c>
      <c r="D37" s="39">
        <v>0</v>
      </c>
      <c r="E37" s="39">
        <v>0</v>
      </c>
      <c r="F37" s="39">
        <v>0</v>
      </c>
      <c r="G37" s="39">
        <f t="shared" si="0"/>
        <v>0</v>
      </c>
      <c r="H37" s="39">
        <f t="shared" si="1"/>
        <v>0</v>
      </c>
    </row>
    <row r="38" spans="1:8" s="39" customFormat="1" x14ac:dyDescent="0.25">
      <c r="A38" s="121" t="s">
        <v>34</v>
      </c>
      <c r="B38" s="72" t="s">
        <v>69</v>
      </c>
      <c r="C38" s="122" t="s">
        <v>70</v>
      </c>
      <c r="D38" s="39">
        <v>0</v>
      </c>
      <c r="E38" s="39">
        <v>0</v>
      </c>
      <c r="F38" s="39">
        <v>0</v>
      </c>
      <c r="G38" s="39">
        <f t="shared" si="0"/>
        <v>0</v>
      </c>
      <c r="H38" s="39">
        <f t="shared" si="1"/>
        <v>0</v>
      </c>
    </row>
    <row r="39" spans="1:8" s="39" customFormat="1" x14ac:dyDescent="0.25">
      <c r="A39" s="121" t="s">
        <v>34</v>
      </c>
      <c r="B39" s="72" t="s">
        <v>69</v>
      </c>
      <c r="C39" s="122" t="s">
        <v>71</v>
      </c>
      <c r="D39" s="39">
        <v>0</v>
      </c>
      <c r="E39" s="39">
        <v>0</v>
      </c>
      <c r="F39" s="39">
        <v>0</v>
      </c>
      <c r="G39" s="39">
        <f t="shared" si="0"/>
        <v>0</v>
      </c>
      <c r="H39" s="39">
        <f t="shared" si="1"/>
        <v>0</v>
      </c>
    </row>
    <row r="40" spans="1:8" s="39" customFormat="1" x14ac:dyDescent="0.25">
      <c r="A40" s="121" t="s">
        <v>18</v>
      </c>
      <c r="B40" s="72" t="s">
        <v>69</v>
      </c>
      <c r="C40" s="122" t="s">
        <v>72</v>
      </c>
      <c r="D40" s="39">
        <v>0</v>
      </c>
      <c r="E40" s="39">
        <v>0</v>
      </c>
      <c r="F40" s="39">
        <v>0</v>
      </c>
      <c r="G40" s="39">
        <f t="shared" si="0"/>
        <v>0</v>
      </c>
      <c r="H40" s="39">
        <f t="shared" si="1"/>
        <v>0</v>
      </c>
    </row>
    <row r="41" spans="1:8" s="39" customFormat="1" x14ac:dyDescent="0.25">
      <c r="A41" s="121" t="s">
        <v>34</v>
      </c>
      <c r="B41" s="72" t="s">
        <v>69</v>
      </c>
      <c r="C41" s="122" t="s">
        <v>73</v>
      </c>
      <c r="D41" s="39">
        <v>0</v>
      </c>
      <c r="E41" s="39">
        <v>0</v>
      </c>
      <c r="F41" s="39">
        <v>0</v>
      </c>
      <c r="G41" s="39">
        <f t="shared" si="0"/>
        <v>0</v>
      </c>
      <c r="H41" s="39">
        <f t="shared" si="1"/>
        <v>0</v>
      </c>
    </row>
    <row r="42" spans="1:8" s="39" customFormat="1" x14ac:dyDescent="0.25">
      <c r="A42" s="121" t="s">
        <v>18</v>
      </c>
      <c r="B42" s="72" t="s">
        <v>69</v>
      </c>
      <c r="C42" s="122" t="s">
        <v>74</v>
      </c>
      <c r="D42" s="39">
        <v>0</v>
      </c>
      <c r="E42" s="39">
        <v>0</v>
      </c>
      <c r="F42" s="39">
        <v>0</v>
      </c>
      <c r="G42" s="39">
        <f t="shared" si="0"/>
        <v>0</v>
      </c>
      <c r="H42" s="39">
        <f t="shared" si="1"/>
        <v>0</v>
      </c>
    </row>
    <row r="43" spans="1:8" s="39" customFormat="1" x14ac:dyDescent="0.25">
      <c r="A43" s="121" t="s">
        <v>34</v>
      </c>
      <c r="B43" s="72" t="s">
        <v>69</v>
      </c>
      <c r="C43" s="122" t="s">
        <v>75</v>
      </c>
      <c r="D43" s="39">
        <v>0</v>
      </c>
      <c r="E43" s="39">
        <v>0</v>
      </c>
      <c r="F43" s="39">
        <v>0</v>
      </c>
      <c r="G43" s="39">
        <f t="shared" si="0"/>
        <v>0</v>
      </c>
      <c r="H43" s="39">
        <f t="shared" si="1"/>
        <v>0</v>
      </c>
    </row>
    <row r="44" spans="1:8" s="39" customFormat="1" x14ac:dyDescent="0.25">
      <c r="A44" s="121" t="s">
        <v>18</v>
      </c>
      <c r="B44" s="72" t="s">
        <v>76</v>
      </c>
      <c r="C44" s="122" t="s">
        <v>106</v>
      </c>
      <c r="D44" s="39">
        <v>0</v>
      </c>
      <c r="E44" s="39">
        <v>0</v>
      </c>
      <c r="F44" s="39">
        <v>0</v>
      </c>
      <c r="G44" s="39">
        <f t="shared" si="0"/>
        <v>0</v>
      </c>
      <c r="H44" s="39">
        <f t="shared" si="1"/>
        <v>0</v>
      </c>
    </row>
    <row r="45" spans="1:8" s="39" customFormat="1" x14ac:dyDescent="0.25">
      <c r="A45" s="121" t="s">
        <v>18</v>
      </c>
      <c r="B45" s="72" t="s">
        <v>76</v>
      </c>
      <c r="C45" s="122" t="s">
        <v>107</v>
      </c>
      <c r="D45" s="39">
        <v>195</v>
      </c>
      <c r="E45" s="39">
        <v>0</v>
      </c>
      <c r="F45" s="39">
        <v>110</v>
      </c>
      <c r="G45" s="39">
        <f t="shared" si="0"/>
        <v>305</v>
      </c>
      <c r="H45" s="39">
        <f t="shared" si="1"/>
        <v>101.66666666666667</v>
      </c>
    </row>
    <row r="46" spans="1:8" s="39" customFormat="1" x14ac:dyDescent="0.25">
      <c r="A46" s="121" t="s">
        <v>18</v>
      </c>
      <c r="B46" s="72" t="s">
        <v>76</v>
      </c>
      <c r="C46" s="122" t="s">
        <v>77</v>
      </c>
      <c r="D46" s="39">
        <v>0</v>
      </c>
      <c r="E46" s="39">
        <v>0</v>
      </c>
      <c r="F46" s="39">
        <v>0</v>
      </c>
      <c r="G46" s="39">
        <f t="shared" si="0"/>
        <v>0</v>
      </c>
      <c r="H46" s="39">
        <f t="shared" si="1"/>
        <v>0</v>
      </c>
    </row>
    <row r="47" spans="1:8" s="39" customFormat="1" x14ac:dyDescent="0.25">
      <c r="A47" s="121" t="s">
        <v>18</v>
      </c>
      <c r="B47" s="72" t="s">
        <v>76</v>
      </c>
      <c r="C47" s="122" t="s">
        <v>108</v>
      </c>
      <c r="D47" s="39">
        <v>565</v>
      </c>
      <c r="E47" s="39">
        <v>700</v>
      </c>
      <c r="F47" s="39">
        <v>565</v>
      </c>
      <c r="G47" s="39">
        <f t="shared" si="0"/>
        <v>1830</v>
      </c>
      <c r="H47" s="39">
        <f t="shared" si="1"/>
        <v>610</v>
      </c>
    </row>
    <row r="48" spans="1:8" s="39" customFormat="1" x14ac:dyDescent="0.25">
      <c r="A48" s="121" t="s">
        <v>18</v>
      </c>
      <c r="B48" s="72" t="s">
        <v>76</v>
      </c>
      <c r="C48" s="122" t="s">
        <v>78</v>
      </c>
      <c r="D48" s="39">
        <v>625</v>
      </c>
      <c r="E48" s="39">
        <v>535</v>
      </c>
      <c r="F48" s="39">
        <v>450</v>
      </c>
      <c r="G48" s="39">
        <f t="shared" si="0"/>
        <v>1610</v>
      </c>
      <c r="H48" s="39">
        <f>SUM(G48/3)</f>
        <v>536.66666666666663</v>
      </c>
    </row>
    <row r="49" spans="1:8" s="39" customFormat="1" x14ac:dyDescent="0.25">
      <c r="A49" s="121" t="s">
        <v>18</v>
      </c>
      <c r="B49" s="72" t="s">
        <v>76</v>
      </c>
      <c r="C49" s="122" t="s">
        <v>79</v>
      </c>
      <c r="D49" s="39">
        <v>710</v>
      </c>
      <c r="E49" s="39">
        <v>760</v>
      </c>
      <c r="F49" s="39">
        <v>785</v>
      </c>
      <c r="G49" s="39">
        <f t="shared" si="0"/>
        <v>2255</v>
      </c>
      <c r="H49" s="39">
        <f t="shared" si="1"/>
        <v>751.66666666666663</v>
      </c>
    </row>
    <row r="50" spans="1:8" s="39" customFormat="1" x14ac:dyDescent="0.25">
      <c r="A50" s="121" t="s">
        <v>18</v>
      </c>
      <c r="B50" s="72" t="s">
        <v>76</v>
      </c>
      <c r="C50" s="122" t="s">
        <v>80</v>
      </c>
      <c r="D50" s="39">
        <v>685</v>
      </c>
      <c r="E50" s="39">
        <v>665</v>
      </c>
      <c r="F50" s="39">
        <v>610</v>
      </c>
      <c r="G50" s="39">
        <f t="shared" si="0"/>
        <v>1960</v>
      </c>
      <c r="H50" s="39">
        <f t="shared" si="1"/>
        <v>653.33333333333337</v>
      </c>
    </row>
    <row r="51" spans="1:8" s="39" customFormat="1" x14ac:dyDescent="0.25">
      <c r="A51" s="121" t="s">
        <v>18</v>
      </c>
      <c r="B51" s="72" t="s">
        <v>76</v>
      </c>
      <c r="C51" s="122" t="s">
        <v>81</v>
      </c>
      <c r="D51" s="39">
        <v>410</v>
      </c>
      <c r="E51" s="39">
        <v>480</v>
      </c>
      <c r="F51" s="39">
        <v>505</v>
      </c>
      <c r="G51" s="39">
        <f t="shared" si="0"/>
        <v>1395</v>
      </c>
      <c r="H51" s="39">
        <f t="shared" si="1"/>
        <v>465</v>
      </c>
    </row>
    <row r="52" spans="1:8" s="39" customFormat="1" x14ac:dyDescent="0.25">
      <c r="A52" s="121" t="s">
        <v>18</v>
      </c>
      <c r="B52" s="72" t="s">
        <v>76</v>
      </c>
      <c r="C52" s="122" t="s">
        <v>82</v>
      </c>
      <c r="D52" s="39">
        <v>650</v>
      </c>
      <c r="E52" s="39">
        <v>965</v>
      </c>
      <c r="F52" s="39">
        <v>860</v>
      </c>
      <c r="G52" s="39">
        <f t="shared" si="0"/>
        <v>2475</v>
      </c>
      <c r="H52" s="39">
        <f t="shared" si="1"/>
        <v>825</v>
      </c>
    </row>
    <row r="53" spans="1:8" s="39" customFormat="1" x14ac:dyDescent="0.25">
      <c r="A53" s="121" t="s">
        <v>18</v>
      </c>
      <c r="B53" s="72" t="s">
        <v>76</v>
      </c>
      <c r="C53" s="122" t="s">
        <v>84</v>
      </c>
      <c r="D53" s="39">
        <v>440</v>
      </c>
      <c r="E53" s="39">
        <v>335</v>
      </c>
      <c r="F53" s="39">
        <v>395</v>
      </c>
      <c r="G53" s="39">
        <f t="shared" si="0"/>
        <v>1170</v>
      </c>
      <c r="H53" s="39">
        <f t="shared" si="1"/>
        <v>390</v>
      </c>
    </row>
    <row r="54" spans="1:8" s="39" customFormat="1" x14ac:dyDescent="0.25">
      <c r="A54" s="121" t="s">
        <v>18</v>
      </c>
      <c r="B54" s="72" t="s">
        <v>76</v>
      </c>
      <c r="C54" s="122" t="s">
        <v>85</v>
      </c>
      <c r="D54" s="39">
        <v>655</v>
      </c>
      <c r="E54" s="39">
        <v>435</v>
      </c>
      <c r="F54" s="39">
        <v>585</v>
      </c>
      <c r="G54" s="39">
        <f t="shared" si="0"/>
        <v>1675</v>
      </c>
      <c r="H54" s="39">
        <f t="shared" si="1"/>
        <v>558.33333333333337</v>
      </c>
    </row>
    <row r="55" spans="1:8" s="39" customFormat="1" x14ac:dyDescent="0.25">
      <c r="A55" s="121" t="s">
        <v>18</v>
      </c>
      <c r="B55" s="72" t="s">
        <v>76</v>
      </c>
      <c r="C55" s="122" t="s">
        <v>86</v>
      </c>
      <c r="D55" s="39">
        <v>500</v>
      </c>
      <c r="E55" s="39">
        <v>410</v>
      </c>
      <c r="F55" s="39">
        <v>650</v>
      </c>
      <c r="G55" s="39">
        <f t="shared" si="0"/>
        <v>1560</v>
      </c>
      <c r="H55" s="39">
        <f t="shared" si="1"/>
        <v>520</v>
      </c>
    </row>
    <row r="56" spans="1:8" s="39" customFormat="1" x14ac:dyDescent="0.25">
      <c r="A56" s="121" t="s">
        <v>18</v>
      </c>
      <c r="B56" s="72" t="s">
        <v>76</v>
      </c>
      <c r="C56" s="122" t="s">
        <v>87</v>
      </c>
      <c r="D56" s="39">
        <v>120</v>
      </c>
      <c r="E56" s="39">
        <v>170</v>
      </c>
      <c r="F56" s="39">
        <v>140</v>
      </c>
      <c r="G56" s="39">
        <f t="shared" si="0"/>
        <v>430</v>
      </c>
      <c r="H56" s="39">
        <f t="shared" si="1"/>
        <v>143.33333333333334</v>
      </c>
    </row>
    <row r="57" spans="1:8" s="39" customFormat="1" x14ac:dyDescent="0.25">
      <c r="A57" s="121" t="s">
        <v>18</v>
      </c>
      <c r="B57" s="72" t="s">
        <v>76</v>
      </c>
      <c r="C57" s="122" t="s">
        <v>88</v>
      </c>
      <c r="D57" s="39">
        <v>735</v>
      </c>
      <c r="E57" s="39">
        <v>865</v>
      </c>
      <c r="F57" s="39">
        <v>850</v>
      </c>
      <c r="G57" s="39">
        <f t="shared" si="0"/>
        <v>2450</v>
      </c>
      <c r="H57" s="39">
        <f t="shared" si="1"/>
        <v>816.66666666666663</v>
      </c>
    </row>
    <row r="58" spans="1:8" s="39" customFormat="1" x14ac:dyDescent="0.25">
      <c r="A58" s="121" t="s">
        <v>18</v>
      </c>
      <c r="B58" s="72" t="s">
        <v>76</v>
      </c>
      <c r="C58" s="122" t="s">
        <v>89</v>
      </c>
      <c r="D58" s="39">
        <v>715</v>
      </c>
      <c r="E58" s="39">
        <v>605</v>
      </c>
      <c r="F58" s="39">
        <v>590</v>
      </c>
      <c r="G58" s="39">
        <f t="shared" si="0"/>
        <v>1910</v>
      </c>
      <c r="H58" s="39">
        <f t="shared" si="1"/>
        <v>636.66666666666663</v>
      </c>
    </row>
    <row r="59" spans="1:8" s="39" customFormat="1" x14ac:dyDescent="0.25">
      <c r="A59" s="121" t="s">
        <v>18</v>
      </c>
      <c r="B59" s="72" t="s">
        <v>76</v>
      </c>
      <c r="C59" s="122" t="s">
        <v>90</v>
      </c>
      <c r="D59" s="39">
        <v>875</v>
      </c>
      <c r="E59" s="39">
        <v>940</v>
      </c>
      <c r="F59" s="39">
        <v>920</v>
      </c>
      <c r="G59" s="39">
        <f t="shared" si="0"/>
        <v>2735</v>
      </c>
      <c r="H59" s="39">
        <f t="shared" si="1"/>
        <v>911.66666666666663</v>
      </c>
    </row>
    <row r="60" spans="1:8" s="39" customFormat="1" x14ac:dyDescent="0.25">
      <c r="A60" s="121" t="s">
        <v>18</v>
      </c>
      <c r="B60" s="72" t="s">
        <v>76</v>
      </c>
      <c r="C60" s="122" t="s">
        <v>91</v>
      </c>
      <c r="D60" s="39">
        <v>645</v>
      </c>
      <c r="E60" s="39">
        <v>565</v>
      </c>
      <c r="F60" s="39">
        <v>460</v>
      </c>
      <c r="G60" s="39">
        <f t="shared" si="0"/>
        <v>1670</v>
      </c>
      <c r="H60" s="39">
        <f t="shared" si="1"/>
        <v>556.66666666666663</v>
      </c>
    </row>
    <row r="61" spans="1:8" s="39" customFormat="1" x14ac:dyDescent="0.25">
      <c r="A61" s="121" t="s">
        <v>18</v>
      </c>
      <c r="B61" s="72" t="s">
        <v>76</v>
      </c>
      <c r="C61" s="122" t="s">
        <v>92</v>
      </c>
      <c r="D61" s="39">
        <v>1310</v>
      </c>
      <c r="E61" s="39">
        <v>1320</v>
      </c>
      <c r="F61" s="39">
        <v>1230</v>
      </c>
      <c r="G61" s="39">
        <f t="shared" si="0"/>
        <v>3860</v>
      </c>
      <c r="H61" s="39">
        <f t="shared" si="1"/>
        <v>1286.6666666666667</v>
      </c>
    </row>
    <row r="62" spans="1:8" s="39" customFormat="1" x14ac:dyDescent="0.25">
      <c r="A62" s="121" t="s">
        <v>18</v>
      </c>
      <c r="B62" s="72" t="s">
        <v>76</v>
      </c>
      <c r="C62" s="122" t="s">
        <v>93</v>
      </c>
      <c r="D62" s="39">
        <v>840</v>
      </c>
      <c r="E62" s="39">
        <v>905</v>
      </c>
      <c r="F62" s="39">
        <v>980</v>
      </c>
      <c r="G62" s="39">
        <f t="shared" si="0"/>
        <v>2725</v>
      </c>
      <c r="H62" s="39">
        <f t="shared" si="1"/>
        <v>908.33333333333337</v>
      </c>
    </row>
    <row r="63" spans="1:8" s="39" customFormat="1" x14ac:dyDescent="0.25">
      <c r="A63" s="121" t="s">
        <v>18</v>
      </c>
      <c r="B63" s="72" t="s">
        <v>76</v>
      </c>
      <c r="C63" s="122" t="s">
        <v>94</v>
      </c>
      <c r="D63" s="39">
        <v>250</v>
      </c>
      <c r="E63" s="39">
        <v>215</v>
      </c>
      <c r="F63" s="39">
        <v>235</v>
      </c>
      <c r="G63" s="39">
        <f t="shared" si="0"/>
        <v>700</v>
      </c>
      <c r="H63" s="39">
        <f t="shared" si="1"/>
        <v>233.33333333333334</v>
      </c>
    </row>
    <row r="64" spans="1:8" s="39" customFormat="1" x14ac:dyDescent="0.25">
      <c r="A64" s="183" t="s">
        <v>116</v>
      </c>
      <c r="B64" s="184" t="s">
        <v>76</v>
      </c>
      <c r="C64" s="185" t="s">
        <v>117</v>
      </c>
      <c r="D64" s="39">
        <v>0</v>
      </c>
      <c r="E64" s="39">
        <v>0</v>
      </c>
      <c r="F64" s="39">
        <v>0</v>
      </c>
      <c r="G64" s="39">
        <f t="shared" si="0"/>
        <v>0</v>
      </c>
      <c r="H64" s="39">
        <f t="shared" si="1"/>
        <v>0</v>
      </c>
    </row>
    <row r="65" spans="1:8" s="39" customFormat="1" x14ac:dyDescent="0.25">
      <c r="A65" s="129" t="s">
        <v>18</v>
      </c>
      <c r="B65" s="125" t="s">
        <v>76</v>
      </c>
      <c r="C65" s="130" t="s">
        <v>95</v>
      </c>
      <c r="D65" s="39">
        <v>220</v>
      </c>
      <c r="E65" s="39">
        <v>225</v>
      </c>
      <c r="F65" s="39">
        <v>225</v>
      </c>
      <c r="G65" s="39">
        <f t="shared" si="0"/>
        <v>670</v>
      </c>
      <c r="H65" s="39">
        <f t="shared" si="1"/>
        <v>223.33333333333334</v>
      </c>
    </row>
    <row r="66" spans="1:8" s="39" customFormat="1" x14ac:dyDescent="0.25">
      <c r="A66" s="186" t="s">
        <v>18</v>
      </c>
      <c r="B66" s="187" t="s">
        <v>76</v>
      </c>
      <c r="C66" s="188" t="s">
        <v>96</v>
      </c>
      <c r="D66" s="39">
        <v>580</v>
      </c>
      <c r="E66" s="39">
        <v>555</v>
      </c>
      <c r="F66" s="39">
        <v>540</v>
      </c>
      <c r="G66" s="39">
        <f t="shared" si="0"/>
        <v>1675</v>
      </c>
      <c r="H66" s="39">
        <f t="shared" si="1"/>
        <v>558.33333333333337</v>
      </c>
    </row>
    <row r="67" spans="1:8" s="39" customFormat="1" x14ac:dyDescent="0.25">
      <c r="A67" s="121" t="s">
        <v>34</v>
      </c>
      <c r="B67" s="72" t="s">
        <v>76</v>
      </c>
      <c r="C67" s="122" t="s">
        <v>111</v>
      </c>
      <c r="D67" s="39">
        <v>230</v>
      </c>
      <c r="E67" s="39">
        <v>355</v>
      </c>
      <c r="F67" s="39">
        <v>225</v>
      </c>
      <c r="G67" s="39">
        <f t="shared" ref="G67:G81" si="2">SUM(D67+E67+F67)</f>
        <v>810</v>
      </c>
      <c r="H67" s="39">
        <f t="shared" ref="H67:H69" si="3">SUM(G67/3)</f>
        <v>270</v>
      </c>
    </row>
    <row r="68" spans="1:8" s="39" customFormat="1" x14ac:dyDescent="0.25">
      <c r="A68" s="121" t="s">
        <v>18</v>
      </c>
      <c r="B68" s="72" t="s">
        <v>76</v>
      </c>
      <c r="C68" s="122" t="s">
        <v>113</v>
      </c>
      <c r="D68" s="39">
        <v>0</v>
      </c>
      <c r="E68" s="39">
        <v>0</v>
      </c>
      <c r="F68" s="39">
        <v>0</v>
      </c>
      <c r="G68" s="39">
        <f t="shared" si="2"/>
        <v>0</v>
      </c>
      <c r="H68" s="39">
        <f t="shared" si="3"/>
        <v>0</v>
      </c>
    </row>
    <row r="69" spans="1:8" s="39" customFormat="1" x14ac:dyDescent="0.25">
      <c r="A69" s="121" t="s">
        <v>18</v>
      </c>
      <c r="B69" s="72" t="s">
        <v>76</v>
      </c>
      <c r="C69" s="122" t="s">
        <v>114</v>
      </c>
      <c r="D69" s="39">
        <v>0</v>
      </c>
      <c r="E69" s="39">
        <v>0</v>
      </c>
      <c r="F69" s="39">
        <v>0</v>
      </c>
      <c r="G69" s="39">
        <f t="shared" si="2"/>
        <v>0</v>
      </c>
      <c r="H69" s="39">
        <f t="shared" si="3"/>
        <v>0</v>
      </c>
    </row>
    <row r="70" spans="1:8" s="39" customFormat="1" x14ac:dyDescent="0.25">
      <c r="A70" s="121" t="s">
        <v>18</v>
      </c>
      <c r="B70" s="72" t="s">
        <v>76</v>
      </c>
      <c r="C70" s="122" t="s">
        <v>37</v>
      </c>
      <c r="D70" s="39">
        <v>610</v>
      </c>
      <c r="E70" s="39">
        <v>505</v>
      </c>
      <c r="F70" s="39">
        <v>475</v>
      </c>
      <c r="G70" s="39">
        <f>SUM(D70+E70+F70)</f>
        <v>1590</v>
      </c>
      <c r="H70" s="39">
        <f>SUM(G70/3)</f>
        <v>530</v>
      </c>
    </row>
    <row r="71" spans="1:8" s="39" customFormat="1" x14ac:dyDescent="0.25">
      <c r="A71" s="121" t="s">
        <v>34</v>
      </c>
      <c r="B71" s="72" t="s">
        <v>97</v>
      </c>
      <c r="C71" s="122" t="s">
        <v>276</v>
      </c>
      <c r="D71" s="39">
        <v>0</v>
      </c>
      <c r="E71" s="39">
        <v>0</v>
      </c>
      <c r="F71" s="39">
        <v>660</v>
      </c>
      <c r="G71" s="39">
        <f t="shared" si="2"/>
        <v>660</v>
      </c>
      <c r="H71" s="39">
        <f>SUM(G71/3)</f>
        <v>220</v>
      </c>
    </row>
    <row r="72" spans="1:8" s="39" customFormat="1" x14ac:dyDescent="0.25">
      <c r="A72" s="121" t="s">
        <v>18</v>
      </c>
      <c r="B72" s="72" t="s">
        <v>99</v>
      </c>
      <c r="C72" s="122" t="s">
        <v>100</v>
      </c>
      <c r="D72" s="39">
        <v>580</v>
      </c>
      <c r="E72" s="39">
        <v>525</v>
      </c>
      <c r="F72" s="39">
        <v>515</v>
      </c>
      <c r="G72" s="39">
        <f t="shared" si="2"/>
        <v>1620</v>
      </c>
      <c r="H72" s="39">
        <f t="shared" ref="H72:H81" si="4">SUM(G72/3)</f>
        <v>540</v>
      </c>
    </row>
    <row r="73" spans="1:8" s="39" customFormat="1" x14ac:dyDescent="0.25">
      <c r="A73" s="121" t="s">
        <v>18</v>
      </c>
      <c r="B73" s="72" t="s">
        <v>99</v>
      </c>
      <c r="C73" s="122" t="s">
        <v>101</v>
      </c>
      <c r="D73" s="39">
        <v>510</v>
      </c>
      <c r="E73" s="39">
        <v>600</v>
      </c>
      <c r="F73" s="39">
        <v>475</v>
      </c>
      <c r="G73" s="39">
        <f t="shared" si="2"/>
        <v>1585</v>
      </c>
      <c r="H73" s="39">
        <f t="shared" si="4"/>
        <v>528.33333333333337</v>
      </c>
    </row>
    <row r="74" spans="1:8" s="39" customFormat="1" x14ac:dyDescent="0.25">
      <c r="A74" s="121" t="s">
        <v>18</v>
      </c>
      <c r="B74" s="72" t="s">
        <v>99</v>
      </c>
      <c r="C74" s="122" t="s">
        <v>102</v>
      </c>
      <c r="D74" s="39">
        <v>550</v>
      </c>
      <c r="E74" s="39">
        <v>520</v>
      </c>
      <c r="F74" s="39">
        <v>0</v>
      </c>
      <c r="G74" s="39">
        <f t="shared" si="2"/>
        <v>1070</v>
      </c>
      <c r="H74" s="39">
        <f t="shared" si="4"/>
        <v>356.66666666666669</v>
      </c>
    </row>
    <row r="75" spans="1:8" s="39" customFormat="1" x14ac:dyDescent="0.25">
      <c r="A75" s="121" t="s">
        <v>34</v>
      </c>
      <c r="B75" s="72" t="s">
        <v>99</v>
      </c>
      <c r="C75" s="122" t="s">
        <v>103</v>
      </c>
      <c r="D75" s="39">
        <v>1115</v>
      </c>
      <c r="E75" s="39">
        <v>1100</v>
      </c>
      <c r="F75" s="39">
        <v>815</v>
      </c>
      <c r="G75" s="39">
        <f t="shared" si="2"/>
        <v>3030</v>
      </c>
      <c r="H75" s="39">
        <f t="shared" si="4"/>
        <v>1010</v>
      </c>
    </row>
    <row r="76" spans="1:8" s="39" customFormat="1" x14ac:dyDescent="0.25">
      <c r="A76" s="121" t="s">
        <v>18</v>
      </c>
      <c r="B76" s="72" t="s">
        <v>242</v>
      </c>
      <c r="C76" s="122" t="s">
        <v>83</v>
      </c>
      <c r="D76" s="39">
        <v>0</v>
      </c>
      <c r="E76" s="39">
        <v>0</v>
      </c>
      <c r="F76" s="39">
        <v>0</v>
      </c>
      <c r="G76" s="39">
        <f t="shared" si="2"/>
        <v>0</v>
      </c>
      <c r="H76" s="39">
        <f t="shared" si="4"/>
        <v>0</v>
      </c>
    </row>
    <row r="77" spans="1:8" s="39" customFormat="1" x14ac:dyDescent="0.25">
      <c r="A77" s="121" t="s">
        <v>34</v>
      </c>
      <c r="B77" s="72" t="s">
        <v>242</v>
      </c>
      <c r="C77" s="122" t="s">
        <v>109</v>
      </c>
      <c r="D77" s="39">
        <v>0</v>
      </c>
      <c r="E77" s="39">
        <v>0</v>
      </c>
      <c r="F77" s="39">
        <v>0</v>
      </c>
      <c r="G77" s="39">
        <f t="shared" si="2"/>
        <v>0</v>
      </c>
      <c r="H77" s="39">
        <f t="shared" si="4"/>
        <v>0</v>
      </c>
    </row>
    <row r="78" spans="1:8" s="39" customFormat="1" x14ac:dyDescent="0.25">
      <c r="A78" s="121" t="s">
        <v>18</v>
      </c>
      <c r="B78" s="72" t="s">
        <v>242</v>
      </c>
      <c r="C78" s="122" t="s">
        <v>110</v>
      </c>
      <c r="D78" s="39">
        <v>0</v>
      </c>
      <c r="E78" s="39">
        <v>0</v>
      </c>
      <c r="F78" s="39">
        <v>0</v>
      </c>
      <c r="G78" s="39">
        <f t="shared" si="2"/>
        <v>0</v>
      </c>
      <c r="H78" s="39">
        <f t="shared" si="4"/>
        <v>0</v>
      </c>
    </row>
    <row r="79" spans="1:8" s="39" customFormat="1" x14ac:dyDescent="0.25">
      <c r="A79" s="121" t="s">
        <v>18</v>
      </c>
      <c r="B79" s="72" t="s">
        <v>242</v>
      </c>
      <c r="C79" s="122" t="s">
        <v>105</v>
      </c>
      <c r="D79" s="39">
        <v>0</v>
      </c>
      <c r="E79" s="39">
        <v>0</v>
      </c>
      <c r="F79" s="39">
        <v>0</v>
      </c>
      <c r="G79" s="39">
        <f t="shared" si="2"/>
        <v>0</v>
      </c>
      <c r="H79" s="39">
        <f t="shared" si="4"/>
        <v>0</v>
      </c>
    </row>
    <row r="80" spans="1:8" s="39" customFormat="1" x14ac:dyDescent="0.25">
      <c r="A80" s="121" t="s">
        <v>18</v>
      </c>
      <c r="B80" s="72" t="s">
        <v>242</v>
      </c>
      <c r="C80" s="122" t="s">
        <v>112</v>
      </c>
      <c r="D80" s="39">
        <v>0</v>
      </c>
      <c r="E80" s="39">
        <v>0</v>
      </c>
      <c r="F80" s="39">
        <v>0</v>
      </c>
      <c r="G80" s="39">
        <f t="shared" si="2"/>
        <v>0</v>
      </c>
      <c r="H80" s="39">
        <f t="shared" si="4"/>
        <v>0</v>
      </c>
    </row>
    <row r="81" spans="1:8" s="39" customFormat="1" x14ac:dyDescent="0.25">
      <c r="A81" s="121" t="s">
        <v>34</v>
      </c>
      <c r="B81" s="72" t="s">
        <v>242</v>
      </c>
      <c r="C81" s="122" t="s">
        <v>115</v>
      </c>
      <c r="D81" s="39">
        <v>0</v>
      </c>
      <c r="E81" s="39">
        <v>0</v>
      </c>
      <c r="F81" s="39">
        <v>0</v>
      </c>
      <c r="G81" s="39">
        <f t="shared" si="2"/>
        <v>0</v>
      </c>
      <c r="H81" s="39">
        <f t="shared" si="4"/>
        <v>0</v>
      </c>
    </row>
    <row r="82" spans="1:8" s="39" customFormat="1" x14ac:dyDescent="0.25">
      <c r="A82" s="121"/>
      <c r="B82" s="72"/>
      <c r="C82" s="122"/>
    </row>
  </sheetData>
  <pageMargins left="0.7" right="0.7" top="0.75" bottom="0.75" header="0.3" footer="0.3"/>
  <pageSetup paperSize="8" scale="9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3"/>
  <sheetViews>
    <sheetView workbookViewId="0">
      <selection activeCell="F28" sqref="F28"/>
    </sheetView>
  </sheetViews>
  <sheetFormatPr defaultRowHeight="15" x14ac:dyDescent="0.25"/>
  <cols>
    <col min="1" max="1" width="24.42578125" bestFit="1" customWidth="1"/>
    <col min="2" max="4" width="9.7109375" bestFit="1" customWidth="1"/>
    <col min="5" max="5" width="12" bestFit="1" customWidth="1"/>
  </cols>
  <sheetData>
    <row r="1" spans="1:5" x14ac:dyDescent="0.25">
      <c r="A1" t="s">
        <v>277</v>
      </c>
      <c r="B1" t="s">
        <v>278</v>
      </c>
      <c r="C1" t="s">
        <v>279</v>
      </c>
      <c r="D1" t="s">
        <v>280</v>
      </c>
      <c r="E1" t="s">
        <v>281</v>
      </c>
    </row>
    <row r="2" spans="1:5" x14ac:dyDescent="0.25">
      <c r="A2" t="s">
        <v>282</v>
      </c>
      <c r="B2">
        <v>426</v>
      </c>
      <c r="C2">
        <v>432</v>
      </c>
      <c r="D2">
        <v>348</v>
      </c>
      <c r="E2">
        <v>402</v>
      </c>
    </row>
    <row r="3" spans="1:5" x14ac:dyDescent="0.25">
      <c r="A3" t="s">
        <v>283</v>
      </c>
      <c r="B3">
        <v>278</v>
      </c>
      <c r="C3">
        <v>233</v>
      </c>
      <c r="D3">
        <v>112</v>
      </c>
      <c r="E3">
        <v>207.66</v>
      </c>
    </row>
    <row r="4" spans="1:5" x14ac:dyDescent="0.25">
      <c r="A4" t="s">
        <v>122</v>
      </c>
      <c r="B4">
        <v>43774</v>
      </c>
      <c r="C4">
        <v>40036</v>
      </c>
      <c r="D4">
        <v>41815</v>
      </c>
      <c r="E4">
        <v>41875</v>
      </c>
    </row>
    <row r="5" spans="1:5" x14ac:dyDescent="0.25">
      <c r="A5" t="s">
        <v>284</v>
      </c>
      <c r="B5">
        <v>20452</v>
      </c>
      <c r="C5">
        <v>24806</v>
      </c>
      <c r="D5">
        <v>23014</v>
      </c>
      <c r="E5">
        <v>22757.33</v>
      </c>
    </row>
    <row r="6" spans="1:5" x14ac:dyDescent="0.25">
      <c r="A6" t="s">
        <v>124</v>
      </c>
      <c r="B6">
        <v>47247</v>
      </c>
      <c r="C6">
        <v>48734</v>
      </c>
      <c r="D6">
        <v>45586</v>
      </c>
      <c r="E6">
        <v>47189</v>
      </c>
    </row>
    <row r="7" spans="1:5" x14ac:dyDescent="0.25">
      <c r="A7" t="s">
        <v>120</v>
      </c>
      <c r="B7">
        <v>19466</v>
      </c>
      <c r="C7">
        <v>19374</v>
      </c>
      <c r="D7">
        <v>23286</v>
      </c>
      <c r="E7">
        <v>20708.66</v>
      </c>
    </row>
    <row r="8" spans="1:5" x14ac:dyDescent="0.25">
      <c r="A8" t="s">
        <v>121</v>
      </c>
      <c r="B8">
        <v>24689</v>
      </c>
      <c r="C8">
        <v>26932</v>
      </c>
      <c r="D8">
        <v>42132</v>
      </c>
      <c r="E8">
        <v>31251</v>
      </c>
    </row>
    <row r="9" spans="1:5" x14ac:dyDescent="0.25">
      <c r="A9" t="s">
        <v>285</v>
      </c>
      <c r="B9">
        <v>47677</v>
      </c>
      <c r="C9">
        <v>43439</v>
      </c>
      <c r="D9">
        <v>60649</v>
      </c>
      <c r="E9">
        <v>50588.33</v>
      </c>
    </row>
    <row r="10" spans="1:5" x14ac:dyDescent="0.25">
      <c r="A10" t="s">
        <v>286</v>
      </c>
      <c r="B10">
        <v>48157</v>
      </c>
      <c r="C10">
        <v>40885</v>
      </c>
      <c r="D10">
        <v>18698</v>
      </c>
      <c r="E10">
        <v>35913.33</v>
      </c>
    </row>
    <row r="11" spans="1:5" x14ac:dyDescent="0.25">
      <c r="A11" t="s">
        <v>287</v>
      </c>
      <c r="B11">
        <v>28475</v>
      </c>
      <c r="C11">
        <v>23196</v>
      </c>
      <c r="D11">
        <v>27446</v>
      </c>
      <c r="E11">
        <v>26372.33</v>
      </c>
    </row>
    <row r="12" spans="1:5" x14ac:dyDescent="0.25">
      <c r="A12" t="s">
        <v>288</v>
      </c>
      <c r="B12">
        <v>43357</v>
      </c>
      <c r="C12">
        <v>30105</v>
      </c>
      <c r="D12">
        <v>32621</v>
      </c>
      <c r="E12">
        <v>35361</v>
      </c>
    </row>
    <row r="13" spans="1:5" x14ac:dyDescent="0.25">
      <c r="A13" t="s">
        <v>126</v>
      </c>
      <c r="B13">
        <v>20898</v>
      </c>
      <c r="C13">
        <v>27729</v>
      </c>
      <c r="D13">
        <v>32352</v>
      </c>
      <c r="E13">
        <v>26993</v>
      </c>
    </row>
  </sheetData>
  <pageMargins left="0.7" right="0.7" top="0.75" bottom="0.75" header="0.3" footer="0.3"/>
  <pageSetup paperSize="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14"/>
  <sheetViews>
    <sheetView topLeftCell="A61" workbookViewId="0">
      <selection activeCell="Q94" sqref="Q94"/>
    </sheetView>
  </sheetViews>
  <sheetFormatPr defaultRowHeight="15" x14ac:dyDescent="0.25"/>
  <cols>
    <col min="1" max="1" width="9.85546875" bestFit="1" customWidth="1"/>
    <col min="2" max="2" width="29.140625" bestFit="1" customWidth="1"/>
    <col min="3" max="3" width="9.140625" bestFit="1" customWidth="1"/>
    <col min="4" max="4" width="25.140625" bestFit="1" customWidth="1"/>
    <col min="5" max="5" width="6.5703125" customWidth="1"/>
    <col min="6" max="6" width="9.140625" customWidth="1"/>
    <col min="7" max="7" width="8.28515625" bestFit="1" customWidth="1"/>
    <col min="8" max="8" width="17.42578125" bestFit="1" customWidth="1"/>
    <col min="9" max="9" width="50.5703125" bestFit="1" customWidth="1"/>
    <col min="10" max="10" width="9.140625" customWidth="1"/>
    <col min="11" max="11" width="13.140625" bestFit="1" customWidth="1"/>
    <col min="12" max="12" width="9.140625" customWidth="1"/>
    <col min="13" max="13" width="15.42578125" bestFit="1" customWidth="1"/>
    <col min="14" max="14" width="9.140625" customWidth="1"/>
    <col min="15" max="15" width="12.28515625" bestFit="1" customWidth="1"/>
    <col min="16" max="16" width="9.140625" customWidth="1"/>
    <col min="17" max="17" width="15.140625" bestFit="1" customWidth="1"/>
    <col min="18" max="18" width="9.140625" customWidth="1"/>
  </cols>
  <sheetData>
    <row r="1" spans="1:17" ht="15.75" thickBot="1" x14ac:dyDescent="0.3"/>
    <row r="2" spans="1:17" ht="16.5" thickTop="1" thickBot="1" x14ac:dyDescent="0.3">
      <c r="B2" s="12" t="s">
        <v>11</v>
      </c>
      <c r="C2" s="13" t="s">
        <v>12</v>
      </c>
      <c r="D2" s="14" t="s">
        <v>13</v>
      </c>
      <c r="E2" s="15" t="s">
        <v>12</v>
      </c>
      <c r="G2" s="16" t="s">
        <v>14</v>
      </c>
      <c r="H2" s="17" t="s">
        <v>15</v>
      </c>
      <c r="I2" s="18" t="s">
        <v>16</v>
      </c>
      <c r="K2" s="19" t="s">
        <v>17</v>
      </c>
      <c r="M2" s="19" t="s">
        <v>289</v>
      </c>
      <c r="O2" s="19" t="s">
        <v>275</v>
      </c>
      <c r="Q2" s="19" t="s">
        <v>2</v>
      </c>
    </row>
    <row r="3" spans="1:17" x14ac:dyDescent="0.25">
      <c r="A3" s="2" t="s">
        <v>3</v>
      </c>
      <c r="B3" s="3">
        <v>3150</v>
      </c>
      <c r="C3" s="200">
        <v>3.01</v>
      </c>
      <c r="D3" s="21">
        <v>3150</v>
      </c>
      <c r="E3" s="22">
        <v>3.83</v>
      </c>
      <c r="G3" s="118" t="s">
        <v>34</v>
      </c>
      <c r="H3" s="174" t="s">
        <v>19</v>
      </c>
      <c r="I3" s="120" t="s">
        <v>154</v>
      </c>
      <c r="K3" s="3">
        <v>500</v>
      </c>
      <c r="M3" s="3">
        <v>1083.3333333333333</v>
      </c>
      <c r="O3" s="3">
        <f>SUM(M3*$C$33)</f>
        <v>1209.4563430348812</v>
      </c>
      <c r="Q3" s="3">
        <f>SUM(K3+O3)</f>
        <v>1709.4563430348812</v>
      </c>
    </row>
    <row r="4" spans="1:17" ht="15.75" thickBot="1" x14ac:dyDescent="0.3">
      <c r="A4" s="4" t="s">
        <v>4</v>
      </c>
      <c r="B4" s="3">
        <v>5000</v>
      </c>
      <c r="C4" s="200">
        <v>4.78</v>
      </c>
      <c r="D4" s="21">
        <v>5000</v>
      </c>
      <c r="E4" s="22">
        <v>6.08</v>
      </c>
      <c r="G4" s="116" t="s">
        <v>34</v>
      </c>
      <c r="H4" s="175" t="s">
        <v>19</v>
      </c>
      <c r="I4" s="117" t="s">
        <v>157</v>
      </c>
      <c r="K4" s="3">
        <v>500</v>
      </c>
      <c r="M4" s="3">
        <v>355</v>
      </c>
      <c r="O4" s="3">
        <f t="shared" ref="O4:O13" si="0">SUM(M4*$C$33)</f>
        <v>396.32954010219959</v>
      </c>
      <c r="Q4" s="3">
        <f t="shared" ref="Q4:Q67" si="1">SUM(K4+O4)</f>
        <v>896.32954010219964</v>
      </c>
    </row>
    <row r="5" spans="1:17" x14ac:dyDescent="0.25">
      <c r="A5" s="5" t="s">
        <v>5</v>
      </c>
      <c r="B5" s="3">
        <v>22200</v>
      </c>
      <c r="C5" s="200">
        <v>21.2</v>
      </c>
      <c r="D5" s="21">
        <v>22200</v>
      </c>
      <c r="E5" s="22">
        <v>27.01</v>
      </c>
      <c r="F5" s="23"/>
      <c r="G5" s="24" t="s">
        <v>18</v>
      </c>
      <c r="H5" s="176" t="s">
        <v>19</v>
      </c>
      <c r="I5" s="25" t="s">
        <v>20</v>
      </c>
      <c r="K5" s="3">
        <v>500</v>
      </c>
      <c r="M5" s="3">
        <v>1641.6666666666667</v>
      </c>
      <c r="N5" s="26"/>
      <c r="O5" s="3">
        <f t="shared" si="0"/>
        <v>1832.7915352143973</v>
      </c>
      <c r="P5" s="26"/>
      <c r="Q5" s="3">
        <f t="shared" si="1"/>
        <v>2332.7915352143973</v>
      </c>
    </row>
    <row r="6" spans="1:17" x14ac:dyDescent="0.25">
      <c r="A6" s="6" t="s">
        <v>6</v>
      </c>
      <c r="B6" s="3">
        <v>38000</v>
      </c>
      <c r="C6" s="200">
        <v>36.29</v>
      </c>
      <c r="D6" s="21">
        <v>38000</v>
      </c>
      <c r="E6" s="22">
        <v>46.23</v>
      </c>
      <c r="F6" s="23"/>
      <c r="G6" s="27" t="s">
        <v>18</v>
      </c>
      <c r="H6" s="177" t="s">
        <v>19</v>
      </c>
      <c r="I6" s="29" t="s">
        <v>21</v>
      </c>
      <c r="K6" s="3">
        <v>500</v>
      </c>
      <c r="M6" s="3">
        <v>116.66666666666667</v>
      </c>
      <c r="O6" s="3">
        <f t="shared" si="0"/>
        <v>130.24914463452569</v>
      </c>
      <c r="Q6" s="3">
        <f t="shared" si="1"/>
        <v>630.24914463452569</v>
      </c>
    </row>
    <row r="7" spans="1:17" ht="15.75" thickBot="1" x14ac:dyDescent="0.3">
      <c r="A7" s="7" t="s">
        <v>7</v>
      </c>
      <c r="B7" s="3">
        <v>13850</v>
      </c>
      <c r="C7" s="200">
        <v>13.23</v>
      </c>
      <c r="D7" s="33">
        <v>13850</v>
      </c>
      <c r="E7" s="34">
        <v>16.850000000000001</v>
      </c>
      <c r="F7" s="23"/>
      <c r="G7" s="30" t="s">
        <v>18</v>
      </c>
      <c r="H7" s="178" t="s">
        <v>19</v>
      </c>
      <c r="I7" s="32" t="s">
        <v>22</v>
      </c>
      <c r="K7" s="3">
        <v>500</v>
      </c>
      <c r="M7" s="3">
        <v>566.66666666666663</v>
      </c>
      <c r="O7" s="3">
        <f t="shared" si="0"/>
        <v>632.63870251055334</v>
      </c>
      <c r="Q7" s="3">
        <f t="shared" si="1"/>
        <v>1132.6387025105532</v>
      </c>
    </row>
    <row r="8" spans="1:17" ht="15.75" thickBot="1" x14ac:dyDescent="0.3">
      <c r="A8" s="35" t="s">
        <v>8</v>
      </c>
      <c r="B8" s="3">
        <v>22500</v>
      </c>
      <c r="C8" s="200">
        <v>21.49</v>
      </c>
      <c r="D8" s="3"/>
      <c r="F8" s="23"/>
      <c r="G8" s="27" t="s">
        <v>18</v>
      </c>
      <c r="H8" s="177" t="s">
        <v>19</v>
      </c>
      <c r="I8" s="29" t="s">
        <v>23</v>
      </c>
      <c r="K8" s="3">
        <v>500</v>
      </c>
      <c r="M8" s="3">
        <v>603.33333333333337</v>
      </c>
      <c r="O8" s="3">
        <f t="shared" si="0"/>
        <v>673.57414796711862</v>
      </c>
      <c r="Q8" s="3">
        <f t="shared" si="1"/>
        <v>1173.5741479671187</v>
      </c>
    </row>
    <row r="9" spans="1:17" ht="15.75" thickBot="1" x14ac:dyDescent="0.3">
      <c r="F9" s="23"/>
      <c r="G9" s="30" t="s">
        <v>18</v>
      </c>
      <c r="H9" s="178" t="s">
        <v>19</v>
      </c>
      <c r="I9" s="32" t="s">
        <v>24</v>
      </c>
      <c r="K9" s="3">
        <v>500</v>
      </c>
      <c r="M9" s="3">
        <v>910</v>
      </c>
      <c r="O9" s="3">
        <f t="shared" si="0"/>
        <v>1015.9433281493003</v>
      </c>
      <c r="Q9" s="3">
        <f t="shared" si="1"/>
        <v>1515.9433281493002</v>
      </c>
    </row>
    <row r="10" spans="1:17" ht="15.75" thickBot="1" x14ac:dyDescent="0.3">
      <c r="A10" s="36" t="s">
        <v>27</v>
      </c>
      <c r="B10" s="11">
        <v>104700</v>
      </c>
      <c r="C10" s="37">
        <v>100</v>
      </c>
      <c r="D10" s="11">
        <v>82200</v>
      </c>
      <c r="E10" s="37">
        <v>100</v>
      </c>
      <c r="G10" s="27" t="s">
        <v>18</v>
      </c>
      <c r="H10" s="177" t="s">
        <v>19</v>
      </c>
      <c r="I10" s="29" t="s">
        <v>25</v>
      </c>
      <c r="K10" s="3">
        <v>500</v>
      </c>
      <c r="M10" s="3">
        <v>0</v>
      </c>
      <c r="O10" s="3">
        <f t="shared" si="0"/>
        <v>0</v>
      </c>
      <c r="Q10" s="3">
        <f t="shared" si="1"/>
        <v>500</v>
      </c>
    </row>
    <row r="11" spans="1:17" x14ac:dyDescent="0.25">
      <c r="G11" s="30" t="s">
        <v>18</v>
      </c>
      <c r="H11" s="178" t="s">
        <v>19</v>
      </c>
      <c r="I11" s="32" t="s">
        <v>26</v>
      </c>
      <c r="K11" s="3">
        <v>500</v>
      </c>
      <c r="M11" s="3">
        <v>908.33333333333337</v>
      </c>
      <c r="O11" s="3">
        <f t="shared" si="0"/>
        <v>1014.0826260830929</v>
      </c>
      <c r="Q11" s="3">
        <f t="shared" si="1"/>
        <v>1514.0826260830929</v>
      </c>
    </row>
    <row r="12" spans="1:17" x14ac:dyDescent="0.25">
      <c r="E12" s="38"/>
      <c r="G12" s="27" t="s">
        <v>18</v>
      </c>
      <c r="H12" s="177" t="s">
        <v>19</v>
      </c>
      <c r="I12" s="29" t="s">
        <v>28</v>
      </c>
      <c r="K12" s="3">
        <v>500</v>
      </c>
      <c r="M12" s="3">
        <v>955</v>
      </c>
      <c r="O12" s="3">
        <f t="shared" si="0"/>
        <v>1066.1822839369031</v>
      </c>
      <c r="Q12" s="3">
        <f t="shared" si="1"/>
        <v>1566.1822839369031</v>
      </c>
    </row>
    <row r="13" spans="1:17" ht="15.75" thickBot="1" x14ac:dyDescent="0.3">
      <c r="E13" s="38"/>
      <c r="G13" s="123" t="s">
        <v>18</v>
      </c>
      <c r="H13" s="174" t="s">
        <v>19</v>
      </c>
      <c r="I13" s="124" t="s">
        <v>62</v>
      </c>
      <c r="K13" s="3">
        <v>500</v>
      </c>
      <c r="M13" s="3">
        <v>361.66666666666669</v>
      </c>
      <c r="O13" s="3">
        <f t="shared" si="0"/>
        <v>403.77234836702968</v>
      </c>
      <c r="P13" s="3">
        <f>SUM(O3:O13)</f>
        <v>8375.0200000000023</v>
      </c>
      <c r="Q13" s="3">
        <f t="shared" si="1"/>
        <v>903.77234836702974</v>
      </c>
    </row>
    <row r="14" spans="1:17" ht="15.75" thickBot="1" x14ac:dyDescent="0.3">
      <c r="A14" s="40" t="s">
        <v>32</v>
      </c>
      <c r="B14" s="41" t="s">
        <v>33</v>
      </c>
      <c r="C14" s="42">
        <v>5000</v>
      </c>
      <c r="D14" s="42">
        <f>SUM(D25/100*E14)</f>
        <v>8375.0157657657655</v>
      </c>
      <c r="E14" s="43">
        <v>22.522522522522522</v>
      </c>
      <c r="O14" s="3"/>
      <c r="Q14" s="3"/>
    </row>
    <row r="15" spans="1:17" x14ac:dyDescent="0.25">
      <c r="B15" s="28" t="s">
        <v>36</v>
      </c>
      <c r="C15" s="42">
        <v>0</v>
      </c>
      <c r="D15" s="42">
        <v>0</v>
      </c>
      <c r="E15" s="43">
        <v>0</v>
      </c>
      <c r="F15" s="39"/>
      <c r="G15" s="30" t="s">
        <v>18</v>
      </c>
      <c r="H15" s="31" t="s">
        <v>29</v>
      </c>
      <c r="I15" s="32" t="s">
        <v>30</v>
      </c>
      <c r="K15" s="3">
        <v>500</v>
      </c>
      <c r="M15" s="3">
        <v>0</v>
      </c>
      <c r="O15" s="3">
        <v>0</v>
      </c>
      <c r="Q15" s="3">
        <f t="shared" si="1"/>
        <v>500</v>
      </c>
    </row>
    <row r="16" spans="1:17" x14ac:dyDescent="0.25">
      <c r="B16" s="28" t="s">
        <v>38</v>
      </c>
      <c r="C16" s="42">
        <v>1500</v>
      </c>
      <c r="D16" s="42">
        <f>SUM(D25/100*E16)</f>
        <v>2512.5047297297301</v>
      </c>
      <c r="E16" s="43">
        <v>6.756756756756757</v>
      </c>
      <c r="F16" s="39"/>
      <c r="G16" s="27" t="s">
        <v>18</v>
      </c>
      <c r="H16" s="28" t="s">
        <v>29</v>
      </c>
      <c r="I16" s="29" t="s">
        <v>31</v>
      </c>
      <c r="K16" s="3">
        <v>500</v>
      </c>
      <c r="M16" s="3">
        <v>0</v>
      </c>
      <c r="O16" s="3">
        <v>0</v>
      </c>
      <c r="Q16" s="3">
        <f t="shared" si="1"/>
        <v>500</v>
      </c>
    </row>
    <row r="17" spans="1:17" x14ac:dyDescent="0.25">
      <c r="B17" s="28" t="s">
        <v>40</v>
      </c>
      <c r="C17" s="42">
        <v>2000</v>
      </c>
      <c r="D17" s="42">
        <f>SUM(D25/100*E17)</f>
        <v>3350.0063063063067</v>
      </c>
      <c r="E17" s="43">
        <v>9.0090090090090094</v>
      </c>
      <c r="F17" s="39"/>
      <c r="G17" s="30" t="s">
        <v>34</v>
      </c>
      <c r="H17" s="31" t="s">
        <v>29</v>
      </c>
      <c r="I17" s="32" t="s">
        <v>35</v>
      </c>
      <c r="K17" s="3">
        <v>500</v>
      </c>
      <c r="M17" s="3">
        <v>0</v>
      </c>
      <c r="O17" s="3">
        <v>0</v>
      </c>
      <c r="Q17" s="3">
        <f t="shared" si="1"/>
        <v>500</v>
      </c>
    </row>
    <row r="18" spans="1:17" x14ac:dyDescent="0.25">
      <c r="B18" s="28" t="s">
        <v>43</v>
      </c>
      <c r="C18" s="42">
        <v>0</v>
      </c>
      <c r="D18" s="42">
        <v>0</v>
      </c>
      <c r="E18" s="43">
        <v>0</v>
      </c>
      <c r="F18" s="39"/>
      <c r="G18" s="30" t="s">
        <v>34</v>
      </c>
      <c r="H18" s="31" t="s">
        <v>29</v>
      </c>
      <c r="I18" s="32" t="s">
        <v>39</v>
      </c>
      <c r="K18" s="3">
        <v>500</v>
      </c>
      <c r="M18" s="3">
        <v>0</v>
      </c>
      <c r="O18" s="3">
        <v>0</v>
      </c>
      <c r="Q18" s="3">
        <f t="shared" si="1"/>
        <v>500</v>
      </c>
    </row>
    <row r="19" spans="1:17" x14ac:dyDescent="0.25">
      <c r="B19" s="28"/>
      <c r="C19" s="42"/>
      <c r="D19" s="42"/>
      <c r="E19" s="43"/>
      <c r="F19" s="39"/>
      <c r="G19" s="121"/>
      <c r="H19" s="72"/>
      <c r="I19" s="122"/>
      <c r="K19" s="3"/>
      <c r="M19" s="3"/>
      <c r="O19" s="3"/>
      <c r="Q19" s="3"/>
    </row>
    <row r="20" spans="1:17" x14ac:dyDescent="0.25">
      <c r="B20" s="28" t="s">
        <v>45</v>
      </c>
      <c r="C20" s="42">
        <v>9500</v>
      </c>
      <c r="D20" s="42">
        <f>SUM(D25/100*E20)</f>
        <v>15912.529954954956</v>
      </c>
      <c r="E20" s="43">
        <v>42.792792792792795</v>
      </c>
      <c r="F20" s="39"/>
      <c r="G20" s="27" t="s">
        <v>34</v>
      </c>
      <c r="H20" s="28" t="s">
        <v>41</v>
      </c>
      <c r="I20" s="29" t="s">
        <v>42</v>
      </c>
      <c r="K20" s="3">
        <v>500</v>
      </c>
      <c r="M20" s="3">
        <v>0</v>
      </c>
      <c r="O20" s="3">
        <v>0</v>
      </c>
      <c r="Q20" s="3">
        <f t="shared" si="1"/>
        <v>500</v>
      </c>
    </row>
    <row r="21" spans="1:17" x14ac:dyDescent="0.25">
      <c r="B21" s="28" t="s">
        <v>47</v>
      </c>
      <c r="C21" s="42">
        <v>4200</v>
      </c>
      <c r="D21" s="42">
        <f>SUM(D25/100*E21)</f>
        <v>7035.0132432432438</v>
      </c>
      <c r="E21" s="43">
        <v>18.918918918918919</v>
      </c>
      <c r="F21" s="39"/>
      <c r="G21" s="30" t="s">
        <v>18</v>
      </c>
      <c r="H21" s="31" t="s">
        <v>41</v>
      </c>
      <c r="I21" s="32" t="s">
        <v>44</v>
      </c>
      <c r="K21" s="3">
        <v>500</v>
      </c>
      <c r="M21" s="3">
        <v>0</v>
      </c>
      <c r="O21" s="3">
        <v>0</v>
      </c>
      <c r="Q21" s="3">
        <f t="shared" si="1"/>
        <v>500</v>
      </c>
    </row>
    <row r="22" spans="1:17" x14ac:dyDescent="0.25">
      <c r="B22" s="28" t="s">
        <v>49</v>
      </c>
      <c r="C22" s="42">
        <v>0</v>
      </c>
      <c r="D22" s="42">
        <v>0</v>
      </c>
      <c r="E22" s="43">
        <v>0</v>
      </c>
      <c r="F22" s="39"/>
      <c r="G22" s="27" t="s">
        <v>18</v>
      </c>
      <c r="H22" s="28" t="s">
        <v>41</v>
      </c>
      <c r="I22" s="29" t="s">
        <v>46</v>
      </c>
      <c r="K22" s="3">
        <v>500</v>
      </c>
      <c r="M22" s="3">
        <v>0</v>
      </c>
      <c r="O22" s="3">
        <v>0</v>
      </c>
      <c r="Q22" s="3">
        <f t="shared" si="1"/>
        <v>500</v>
      </c>
    </row>
    <row r="23" spans="1:17" x14ac:dyDescent="0.25">
      <c r="B23" s="28" t="s">
        <v>51</v>
      </c>
      <c r="C23" s="42">
        <v>0</v>
      </c>
      <c r="D23" s="42">
        <v>0</v>
      </c>
      <c r="E23" s="43">
        <v>0</v>
      </c>
      <c r="F23" s="39"/>
      <c r="G23" s="30" t="s">
        <v>18</v>
      </c>
      <c r="H23" s="31" t="s">
        <v>41</v>
      </c>
      <c r="I23" s="32" t="s">
        <v>48</v>
      </c>
      <c r="K23" s="3">
        <v>500</v>
      </c>
      <c r="M23" s="3">
        <v>0</v>
      </c>
      <c r="O23" s="3">
        <v>0</v>
      </c>
      <c r="Q23" s="3">
        <f t="shared" si="1"/>
        <v>500</v>
      </c>
    </row>
    <row r="24" spans="1:17" ht="15.75" thickBot="1" x14ac:dyDescent="0.3">
      <c r="E24" s="44"/>
      <c r="F24" s="39"/>
      <c r="G24" s="27" t="s">
        <v>18</v>
      </c>
      <c r="H24" s="28" t="s">
        <v>41</v>
      </c>
      <c r="I24" s="29" t="s">
        <v>50</v>
      </c>
      <c r="K24" s="3">
        <v>500</v>
      </c>
      <c r="M24" s="3">
        <v>0</v>
      </c>
      <c r="O24" s="3">
        <v>0</v>
      </c>
      <c r="Q24" s="3">
        <f t="shared" si="1"/>
        <v>500</v>
      </c>
    </row>
    <row r="25" spans="1:17" ht="15.75" thickBot="1" x14ac:dyDescent="0.3">
      <c r="B25" s="45" t="s">
        <v>10</v>
      </c>
      <c r="C25" s="46">
        <v>22200</v>
      </c>
      <c r="D25" s="11">
        <v>37185.07</v>
      </c>
      <c r="E25" s="11">
        <v>100</v>
      </c>
      <c r="F25" s="39"/>
      <c r="G25" s="30" t="s">
        <v>18</v>
      </c>
      <c r="H25" s="31" t="s">
        <v>41</v>
      </c>
      <c r="I25" s="32" t="s">
        <v>52</v>
      </c>
      <c r="K25" s="3">
        <v>500</v>
      </c>
      <c r="M25" s="3">
        <v>0</v>
      </c>
      <c r="O25" s="3">
        <v>0</v>
      </c>
      <c r="Q25" s="3">
        <f t="shared" si="1"/>
        <v>500</v>
      </c>
    </row>
    <row r="26" spans="1:17" x14ac:dyDescent="0.25">
      <c r="D26" s="201">
        <f>SUM(D14:D23)</f>
        <v>37185.07</v>
      </c>
      <c r="F26" s="39"/>
      <c r="G26" s="27" t="s">
        <v>18</v>
      </c>
      <c r="H26" s="28" t="s">
        <v>41</v>
      </c>
      <c r="I26" s="29" t="s">
        <v>53</v>
      </c>
      <c r="K26" s="3">
        <v>500</v>
      </c>
      <c r="M26" s="3">
        <v>0</v>
      </c>
      <c r="O26" s="3">
        <v>0</v>
      </c>
      <c r="Q26" s="3">
        <f t="shared" si="1"/>
        <v>500</v>
      </c>
    </row>
    <row r="27" spans="1:17" x14ac:dyDescent="0.25">
      <c r="A27" t="s">
        <v>248</v>
      </c>
      <c r="F27" s="39"/>
      <c r="G27" s="30" t="s">
        <v>18</v>
      </c>
      <c r="H27" s="31" t="s">
        <v>41</v>
      </c>
      <c r="I27" s="32" t="s">
        <v>54</v>
      </c>
      <c r="K27" s="3">
        <v>500</v>
      </c>
      <c r="M27" s="3">
        <v>0</v>
      </c>
      <c r="O27" s="3">
        <v>0</v>
      </c>
      <c r="Q27" s="3">
        <f t="shared" si="1"/>
        <v>500</v>
      </c>
    </row>
    <row r="28" spans="1:17" x14ac:dyDescent="0.25">
      <c r="A28" t="s">
        <v>249</v>
      </c>
      <c r="D28" s="3"/>
      <c r="E28" s="44"/>
      <c r="F28" s="39"/>
      <c r="G28" s="27" t="s">
        <v>18</v>
      </c>
      <c r="H28" s="28" t="s">
        <v>41</v>
      </c>
      <c r="I28" s="29" t="s">
        <v>55</v>
      </c>
      <c r="K28" s="3">
        <v>500</v>
      </c>
      <c r="M28" s="3">
        <v>0</v>
      </c>
      <c r="O28" s="3">
        <v>0</v>
      </c>
      <c r="Q28" s="3">
        <f t="shared" si="1"/>
        <v>500</v>
      </c>
    </row>
    <row r="29" spans="1:17" x14ac:dyDescent="0.25">
      <c r="E29" s="44"/>
      <c r="F29" s="39"/>
      <c r="G29" s="30" t="s">
        <v>18</v>
      </c>
      <c r="H29" s="31" t="s">
        <v>41</v>
      </c>
      <c r="I29" s="32" t="s">
        <v>56</v>
      </c>
      <c r="K29" s="3">
        <v>500</v>
      </c>
      <c r="M29" s="3">
        <v>0</v>
      </c>
      <c r="O29" s="3">
        <v>0</v>
      </c>
      <c r="Q29" s="3">
        <f t="shared" si="1"/>
        <v>500</v>
      </c>
    </row>
    <row r="30" spans="1:17" x14ac:dyDescent="0.25">
      <c r="E30" s="44"/>
      <c r="F30" s="39"/>
      <c r="G30" s="121"/>
      <c r="H30" s="72"/>
      <c r="I30" s="122"/>
      <c r="K30" s="3"/>
      <c r="M30" s="3"/>
      <c r="O30" s="3"/>
      <c r="Q30" s="3"/>
    </row>
    <row r="31" spans="1:17" x14ac:dyDescent="0.25">
      <c r="A31" s="179" t="s">
        <v>19</v>
      </c>
      <c r="B31" s="179"/>
      <c r="C31" s="179">
        <v>8375.02</v>
      </c>
      <c r="E31" s="44"/>
      <c r="F31" s="39"/>
      <c r="G31" s="27" t="s">
        <v>18</v>
      </c>
      <c r="H31" s="28" t="s">
        <v>57</v>
      </c>
      <c r="I31" s="29" t="s">
        <v>58</v>
      </c>
      <c r="K31" s="3">
        <v>500</v>
      </c>
      <c r="M31" s="3">
        <v>350</v>
      </c>
      <c r="N31" s="26"/>
      <c r="O31" s="3">
        <f>SUM(M31*$C$37)</f>
        <v>382.89187227866472</v>
      </c>
      <c r="P31" s="26"/>
      <c r="Q31" s="3">
        <f t="shared" si="1"/>
        <v>882.89187227866478</v>
      </c>
    </row>
    <row r="32" spans="1:17" x14ac:dyDescent="0.25">
      <c r="A32" t="s">
        <v>244</v>
      </c>
      <c r="C32" s="145">
        <f>SUM(M3:M12)+M13</f>
        <v>7501.6666666666661</v>
      </c>
      <c r="E32" s="44"/>
      <c r="F32" s="39"/>
      <c r="G32" s="30" t="s">
        <v>18</v>
      </c>
      <c r="H32" s="31" t="s">
        <v>57</v>
      </c>
      <c r="I32" s="32" t="s">
        <v>59</v>
      </c>
      <c r="K32" s="3">
        <v>500</v>
      </c>
      <c r="M32" s="3">
        <v>665</v>
      </c>
      <c r="O32" s="3">
        <f t="shared" ref="O32:O34" si="2">SUM(M32*$C$37)</f>
        <v>727.49455732946296</v>
      </c>
      <c r="Q32" s="3">
        <f t="shared" si="1"/>
        <v>1227.4945573294631</v>
      </c>
    </row>
    <row r="33" spans="1:17" x14ac:dyDescent="0.25">
      <c r="A33" t="s">
        <v>250</v>
      </c>
      <c r="C33">
        <f>SUM(C31/C32)</f>
        <v>1.1164212397245059</v>
      </c>
      <c r="E33" s="44"/>
      <c r="F33" s="39"/>
      <c r="G33" s="27" t="s">
        <v>18</v>
      </c>
      <c r="H33" s="28" t="s">
        <v>57</v>
      </c>
      <c r="I33" s="29" t="s">
        <v>60</v>
      </c>
      <c r="K33" s="3">
        <v>500</v>
      </c>
      <c r="M33" s="3">
        <v>1070</v>
      </c>
      <c r="O33" s="3">
        <f t="shared" si="2"/>
        <v>1170.5551523947752</v>
      </c>
      <c r="Q33" s="3">
        <f t="shared" si="1"/>
        <v>1670.5551523947752</v>
      </c>
    </row>
    <row r="34" spans="1:17" x14ac:dyDescent="0.25">
      <c r="E34" s="44"/>
      <c r="F34" s="39"/>
      <c r="G34" s="30" t="s">
        <v>18</v>
      </c>
      <c r="H34" s="31" t="s">
        <v>57</v>
      </c>
      <c r="I34" s="32" t="s">
        <v>61</v>
      </c>
      <c r="K34" s="3">
        <v>500</v>
      </c>
      <c r="M34" s="3">
        <v>211.66666666666666</v>
      </c>
      <c r="O34" s="3">
        <f t="shared" si="2"/>
        <v>231.55841799709725</v>
      </c>
      <c r="P34" s="3">
        <f>SUM(O31:O34)</f>
        <v>2512.5</v>
      </c>
      <c r="Q34" s="3">
        <f t="shared" si="1"/>
        <v>731.55841799709719</v>
      </c>
    </row>
    <row r="35" spans="1:17" x14ac:dyDescent="0.25">
      <c r="A35" s="179" t="s">
        <v>57</v>
      </c>
      <c r="B35" s="179"/>
      <c r="C35" s="179">
        <v>2512.5</v>
      </c>
      <c r="E35" s="44"/>
      <c r="F35" s="39"/>
      <c r="O35" s="3"/>
      <c r="Q35" s="3"/>
    </row>
    <row r="36" spans="1:17" x14ac:dyDescent="0.25">
      <c r="A36" t="s">
        <v>244</v>
      </c>
      <c r="C36" s="145">
        <f>SUM(M31:M34)</f>
        <v>2296.6666666666665</v>
      </c>
      <c r="E36" s="44"/>
      <c r="F36" s="39"/>
      <c r="G36" s="30" t="s">
        <v>18</v>
      </c>
      <c r="H36" s="31" t="s">
        <v>243</v>
      </c>
      <c r="I36" s="32" t="s">
        <v>63</v>
      </c>
      <c r="K36" s="3">
        <v>500</v>
      </c>
      <c r="M36" s="3">
        <v>0</v>
      </c>
      <c r="N36" s="26"/>
      <c r="O36" s="3">
        <f>SUM(C48)</f>
        <v>1172.5016666666668</v>
      </c>
      <c r="P36" s="26"/>
      <c r="Q36" s="3">
        <f t="shared" si="1"/>
        <v>1672.5016666666668</v>
      </c>
    </row>
    <row r="37" spans="1:17" x14ac:dyDescent="0.25">
      <c r="A37" t="s">
        <v>250</v>
      </c>
      <c r="C37">
        <f>SUM(C35/C36)</f>
        <v>1.0939767779390421</v>
      </c>
      <c r="E37" s="44"/>
      <c r="F37" s="39"/>
      <c r="G37" s="27" t="s">
        <v>18</v>
      </c>
      <c r="H37" s="28" t="s">
        <v>243</v>
      </c>
      <c r="I37" s="29" t="s">
        <v>64</v>
      </c>
      <c r="K37" s="3">
        <v>500</v>
      </c>
      <c r="M37" s="3">
        <v>0</v>
      </c>
      <c r="O37" s="3">
        <f>SUM(C48)</f>
        <v>1172.5016666666668</v>
      </c>
      <c r="Q37" s="3">
        <f t="shared" si="1"/>
        <v>1672.5016666666668</v>
      </c>
    </row>
    <row r="38" spans="1:17" x14ac:dyDescent="0.25">
      <c r="E38" s="44"/>
      <c r="F38" s="39"/>
      <c r="G38" s="30" t="s">
        <v>18</v>
      </c>
      <c r="H38" s="31" t="s">
        <v>243</v>
      </c>
      <c r="I38" s="32" t="s">
        <v>65</v>
      </c>
      <c r="K38" s="3">
        <v>500</v>
      </c>
      <c r="M38" s="3">
        <v>0</v>
      </c>
      <c r="O38" s="3">
        <f>SUM(C48)</f>
        <v>1172.5016666666668</v>
      </c>
      <c r="Q38" s="3">
        <f t="shared" si="1"/>
        <v>1672.5016666666668</v>
      </c>
    </row>
    <row r="39" spans="1:17" x14ac:dyDescent="0.25">
      <c r="A39" s="179" t="s">
        <v>290</v>
      </c>
      <c r="B39" s="179"/>
      <c r="C39" s="179">
        <v>15912.53</v>
      </c>
      <c r="E39" s="44"/>
      <c r="F39" s="39"/>
      <c r="G39" s="27" t="s">
        <v>18</v>
      </c>
      <c r="H39" s="28" t="s">
        <v>243</v>
      </c>
      <c r="I39" s="29" t="s">
        <v>66</v>
      </c>
      <c r="K39" s="3">
        <v>500</v>
      </c>
      <c r="M39" s="3">
        <v>0</v>
      </c>
      <c r="O39" s="3">
        <f>SUM(C48)</f>
        <v>1172.5016666666668</v>
      </c>
      <c r="Q39" s="3">
        <f t="shared" si="1"/>
        <v>1672.5016666666668</v>
      </c>
    </row>
    <row r="40" spans="1:17" x14ac:dyDescent="0.25">
      <c r="A40" t="s">
        <v>244</v>
      </c>
      <c r="C40" s="145">
        <f>SUM(M51:M76)</f>
        <v>12486.66666666667</v>
      </c>
      <c r="E40" s="44"/>
      <c r="F40" s="39"/>
      <c r="G40" s="30" t="s">
        <v>18</v>
      </c>
      <c r="H40" s="31" t="s">
        <v>243</v>
      </c>
      <c r="I40" s="32" t="s">
        <v>67</v>
      </c>
      <c r="K40" s="3">
        <v>500</v>
      </c>
      <c r="M40" s="3">
        <v>0</v>
      </c>
      <c r="O40" s="3">
        <f>SUM(C48)</f>
        <v>1172.5016666666668</v>
      </c>
      <c r="Q40" s="3">
        <f t="shared" si="1"/>
        <v>1672.5016666666668</v>
      </c>
    </row>
    <row r="41" spans="1:17" x14ac:dyDescent="0.25">
      <c r="A41" t="s">
        <v>250</v>
      </c>
      <c r="C41">
        <f>SUM(C39/C40)</f>
        <v>1.2743617191671113</v>
      </c>
      <c r="E41" s="44"/>
      <c r="F41" s="39"/>
      <c r="G41" s="27" t="s">
        <v>18</v>
      </c>
      <c r="H41" s="28" t="s">
        <v>243</v>
      </c>
      <c r="I41" s="29" t="s">
        <v>68</v>
      </c>
      <c r="K41" s="3">
        <v>500</v>
      </c>
      <c r="M41" s="3">
        <v>0</v>
      </c>
      <c r="O41" s="3">
        <f>SUM(C48)</f>
        <v>1172.5016666666668</v>
      </c>
      <c r="P41" s="3">
        <f>SUM(O36:O41)</f>
        <v>7035.0100000000011</v>
      </c>
      <c r="Q41" s="3">
        <f t="shared" si="1"/>
        <v>1672.5016666666668</v>
      </c>
    </row>
    <row r="42" spans="1:17" x14ac:dyDescent="0.25">
      <c r="E42" s="44"/>
      <c r="F42" s="39"/>
      <c r="G42" s="27"/>
      <c r="H42" s="28"/>
      <c r="I42" s="29"/>
      <c r="K42" s="3"/>
      <c r="M42" s="3"/>
      <c r="O42" s="3"/>
      <c r="Q42" s="3">
        <f t="shared" si="1"/>
        <v>0</v>
      </c>
    </row>
    <row r="43" spans="1:17" x14ac:dyDescent="0.25">
      <c r="A43" s="179" t="s">
        <v>99</v>
      </c>
      <c r="B43" s="179"/>
      <c r="C43" s="179">
        <v>3350.01</v>
      </c>
      <c r="E43" s="44"/>
      <c r="F43" s="39"/>
      <c r="G43" s="30" t="s">
        <v>34</v>
      </c>
      <c r="H43" s="31" t="s">
        <v>69</v>
      </c>
      <c r="I43" s="32" t="s">
        <v>70</v>
      </c>
      <c r="K43" s="3">
        <v>500</v>
      </c>
      <c r="M43" s="3">
        <v>0</v>
      </c>
      <c r="O43" s="3">
        <v>0</v>
      </c>
      <c r="Q43" s="3">
        <f t="shared" si="1"/>
        <v>500</v>
      </c>
    </row>
    <row r="44" spans="1:17" x14ac:dyDescent="0.25">
      <c r="A44" t="s">
        <v>244</v>
      </c>
      <c r="C44" s="145">
        <f>SUM(M79:M83)</f>
        <v>2655</v>
      </c>
      <c r="E44" s="44"/>
      <c r="F44" s="39"/>
      <c r="G44" s="27" t="s">
        <v>34</v>
      </c>
      <c r="H44" s="28" t="s">
        <v>69</v>
      </c>
      <c r="I44" s="29" t="s">
        <v>71</v>
      </c>
      <c r="K44" s="3">
        <v>500</v>
      </c>
      <c r="M44" s="3">
        <v>0</v>
      </c>
      <c r="O44" s="3">
        <v>0</v>
      </c>
      <c r="Q44" s="3">
        <f t="shared" si="1"/>
        <v>500</v>
      </c>
    </row>
    <row r="45" spans="1:17" x14ac:dyDescent="0.25">
      <c r="A45" t="s">
        <v>250</v>
      </c>
      <c r="C45">
        <f>SUM(C43/C44)</f>
        <v>1.2617740112994351</v>
      </c>
      <c r="E45" s="44"/>
      <c r="F45" s="39"/>
      <c r="G45" s="30" t="s">
        <v>18</v>
      </c>
      <c r="H45" s="31" t="s">
        <v>69</v>
      </c>
      <c r="I45" s="32" t="s">
        <v>72</v>
      </c>
      <c r="K45" s="3">
        <v>500</v>
      </c>
      <c r="M45" s="3">
        <v>0</v>
      </c>
      <c r="O45" s="3">
        <v>0</v>
      </c>
      <c r="Q45" s="3">
        <f t="shared" si="1"/>
        <v>500</v>
      </c>
    </row>
    <row r="46" spans="1:17" x14ac:dyDescent="0.25">
      <c r="E46" s="44"/>
      <c r="F46" s="39"/>
      <c r="G46" s="27" t="s">
        <v>34</v>
      </c>
      <c r="H46" s="28" t="s">
        <v>69</v>
      </c>
      <c r="I46" s="29" t="s">
        <v>73</v>
      </c>
      <c r="K46" s="3">
        <v>500</v>
      </c>
      <c r="M46" s="3">
        <v>0</v>
      </c>
      <c r="O46" s="3">
        <v>0</v>
      </c>
      <c r="Q46" s="3">
        <f t="shared" si="1"/>
        <v>500</v>
      </c>
    </row>
    <row r="47" spans="1:17" x14ac:dyDescent="0.25">
      <c r="A47" t="s">
        <v>291</v>
      </c>
      <c r="C47" s="42">
        <v>7035.01</v>
      </c>
      <c r="E47" s="44"/>
      <c r="F47" s="39"/>
      <c r="G47" s="30" t="s">
        <v>18</v>
      </c>
      <c r="H47" s="31" t="s">
        <v>69</v>
      </c>
      <c r="I47" s="32" t="s">
        <v>74</v>
      </c>
      <c r="K47" s="3">
        <v>500</v>
      </c>
      <c r="M47" s="3">
        <v>0</v>
      </c>
      <c r="O47" s="3">
        <v>0</v>
      </c>
      <c r="Q47" s="3">
        <f t="shared" si="1"/>
        <v>500</v>
      </c>
    </row>
    <row r="48" spans="1:17" x14ac:dyDescent="0.25">
      <c r="A48" t="s">
        <v>292</v>
      </c>
      <c r="C48">
        <f>SUM(C47/6)</f>
        <v>1172.5016666666668</v>
      </c>
      <c r="E48" s="44"/>
      <c r="F48" s="39"/>
      <c r="G48" s="27" t="s">
        <v>34</v>
      </c>
      <c r="H48" s="28" t="s">
        <v>69</v>
      </c>
      <c r="I48" s="29" t="s">
        <v>75</v>
      </c>
      <c r="K48" s="3">
        <v>500</v>
      </c>
      <c r="M48" s="3">
        <v>0</v>
      </c>
      <c r="O48" s="3">
        <v>0</v>
      </c>
      <c r="Q48" s="3">
        <f t="shared" si="1"/>
        <v>500</v>
      </c>
    </row>
    <row r="49" spans="5:17" x14ac:dyDescent="0.25">
      <c r="E49" s="44"/>
      <c r="F49" s="39"/>
      <c r="G49" s="27"/>
      <c r="H49" s="28"/>
      <c r="I49" s="29"/>
      <c r="K49" s="3"/>
      <c r="M49" s="3"/>
      <c r="O49" s="3"/>
      <c r="Q49" s="3"/>
    </row>
    <row r="50" spans="5:17" x14ac:dyDescent="0.25">
      <c r="E50" s="44"/>
      <c r="F50" s="39"/>
      <c r="G50" s="30" t="s">
        <v>18</v>
      </c>
      <c r="H50" s="31" t="s">
        <v>76</v>
      </c>
      <c r="I50" s="32" t="s">
        <v>106</v>
      </c>
      <c r="K50" s="3">
        <v>500</v>
      </c>
      <c r="M50" s="3">
        <v>0</v>
      </c>
      <c r="O50" s="3">
        <f>SUM(M50*$C$41)</f>
        <v>0</v>
      </c>
      <c r="Q50" s="3">
        <f t="shared" si="1"/>
        <v>500</v>
      </c>
    </row>
    <row r="51" spans="5:17" x14ac:dyDescent="0.25">
      <c r="E51" s="44"/>
      <c r="F51" s="39"/>
      <c r="G51" s="27" t="s">
        <v>18</v>
      </c>
      <c r="H51" s="28" t="s">
        <v>76</v>
      </c>
      <c r="I51" s="29" t="s">
        <v>107</v>
      </c>
      <c r="K51" s="3">
        <v>500</v>
      </c>
      <c r="M51" s="3">
        <v>101.66666666666667</v>
      </c>
      <c r="O51" s="3">
        <f t="shared" ref="O51:O77" si="3">SUM(M51*$C$41)</f>
        <v>129.56010811532298</v>
      </c>
      <c r="Q51" s="3">
        <f t="shared" si="1"/>
        <v>629.56010811532292</v>
      </c>
    </row>
    <row r="52" spans="5:17" x14ac:dyDescent="0.25">
      <c r="E52" s="44"/>
      <c r="F52" s="39"/>
      <c r="G52" s="30" t="s">
        <v>18</v>
      </c>
      <c r="H52" s="31" t="s">
        <v>76</v>
      </c>
      <c r="I52" s="32" t="s">
        <v>77</v>
      </c>
      <c r="K52" s="3">
        <v>500</v>
      </c>
      <c r="M52" s="3">
        <v>0</v>
      </c>
      <c r="N52" s="26"/>
      <c r="O52" s="3">
        <f t="shared" si="3"/>
        <v>0</v>
      </c>
      <c r="P52" s="26"/>
      <c r="Q52" s="3">
        <f t="shared" si="1"/>
        <v>500</v>
      </c>
    </row>
    <row r="53" spans="5:17" x14ac:dyDescent="0.25">
      <c r="E53" s="44"/>
      <c r="F53" s="39"/>
      <c r="G53" s="121" t="s">
        <v>18</v>
      </c>
      <c r="H53" s="72" t="s">
        <v>76</v>
      </c>
      <c r="I53" s="122" t="s">
        <v>108</v>
      </c>
      <c r="K53" s="3">
        <v>500</v>
      </c>
      <c r="M53" s="3">
        <v>610</v>
      </c>
      <c r="O53" s="3">
        <f t="shared" si="3"/>
        <v>777.36064869193785</v>
      </c>
      <c r="Q53" s="3">
        <f t="shared" si="1"/>
        <v>1277.360648691938</v>
      </c>
    </row>
    <row r="54" spans="5:17" x14ac:dyDescent="0.25">
      <c r="E54" s="44"/>
      <c r="F54" s="39"/>
      <c r="G54" s="123" t="s">
        <v>18</v>
      </c>
      <c r="H54" s="119" t="s">
        <v>76</v>
      </c>
      <c r="I54" s="124" t="s">
        <v>78</v>
      </c>
      <c r="K54" s="3">
        <v>500</v>
      </c>
      <c r="M54" s="3">
        <v>536.66666666666663</v>
      </c>
      <c r="O54" s="3">
        <f t="shared" si="3"/>
        <v>683.90745595301632</v>
      </c>
      <c r="Q54" s="3">
        <f t="shared" si="1"/>
        <v>1183.9074559530163</v>
      </c>
    </row>
    <row r="55" spans="5:17" x14ac:dyDescent="0.25">
      <c r="E55" s="44"/>
      <c r="F55" s="39"/>
      <c r="G55" s="121" t="s">
        <v>18</v>
      </c>
      <c r="H55" s="72" t="s">
        <v>76</v>
      </c>
      <c r="I55" s="122" t="s">
        <v>79</v>
      </c>
      <c r="K55" s="3">
        <v>500</v>
      </c>
      <c r="M55" s="3">
        <v>751.66666666666663</v>
      </c>
      <c r="O55" s="3">
        <f t="shared" si="3"/>
        <v>957.89522557394525</v>
      </c>
      <c r="Q55" s="3">
        <f t="shared" si="1"/>
        <v>1457.8952255739453</v>
      </c>
    </row>
    <row r="56" spans="5:17" x14ac:dyDescent="0.25">
      <c r="E56" s="44"/>
      <c r="F56" s="39"/>
      <c r="G56" s="123" t="s">
        <v>18</v>
      </c>
      <c r="H56" s="119" t="s">
        <v>76</v>
      </c>
      <c r="I56" s="124" t="s">
        <v>80</v>
      </c>
      <c r="K56" s="3">
        <v>500</v>
      </c>
      <c r="M56" s="3">
        <v>653.33333333333337</v>
      </c>
      <c r="O56" s="3">
        <f t="shared" si="3"/>
        <v>832.58298985584611</v>
      </c>
      <c r="Q56" s="3">
        <f t="shared" si="1"/>
        <v>1332.5829898558461</v>
      </c>
    </row>
    <row r="57" spans="5:17" x14ac:dyDescent="0.25">
      <c r="E57" s="44"/>
      <c r="F57" s="39"/>
      <c r="G57" s="121" t="s">
        <v>18</v>
      </c>
      <c r="H57" s="72" t="s">
        <v>76</v>
      </c>
      <c r="I57" s="122" t="s">
        <v>81</v>
      </c>
      <c r="K57" s="3">
        <v>500</v>
      </c>
      <c r="M57" s="3">
        <v>465</v>
      </c>
      <c r="O57" s="3">
        <f t="shared" si="3"/>
        <v>592.57819941270679</v>
      </c>
      <c r="Q57" s="3">
        <f t="shared" si="1"/>
        <v>1092.5781994127069</v>
      </c>
    </row>
    <row r="58" spans="5:17" x14ac:dyDescent="0.25">
      <c r="E58" s="44"/>
      <c r="F58" s="39"/>
      <c r="G58" s="123" t="s">
        <v>18</v>
      </c>
      <c r="H58" s="119" t="s">
        <v>76</v>
      </c>
      <c r="I58" s="124" t="s">
        <v>82</v>
      </c>
      <c r="K58" s="3">
        <v>500</v>
      </c>
      <c r="M58" s="3">
        <v>825</v>
      </c>
      <c r="O58" s="3">
        <f t="shared" si="3"/>
        <v>1051.3484183128669</v>
      </c>
      <c r="Q58" s="3">
        <f t="shared" si="1"/>
        <v>1551.3484183128669</v>
      </c>
    </row>
    <row r="59" spans="5:17" x14ac:dyDescent="0.25">
      <c r="E59" s="44"/>
      <c r="F59" s="39"/>
      <c r="G59" s="121" t="s">
        <v>18</v>
      </c>
      <c r="H59" s="72" t="s">
        <v>76</v>
      </c>
      <c r="I59" s="122" t="s">
        <v>84</v>
      </c>
      <c r="K59" s="3">
        <v>500</v>
      </c>
      <c r="M59" s="3">
        <v>390</v>
      </c>
      <c r="O59" s="3">
        <f t="shared" si="3"/>
        <v>497.00107047517338</v>
      </c>
      <c r="Q59" s="3">
        <f t="shared" si="1"/>
        <v>997.00107047517338</v>
      </c>
    </row>
    <row r="60" spans="5:17" x14ac:dyDescent="0.25">
      <c r="E60" s="44"/>
      <c r="F60" s="39"/>
      <c r="G60" s="123" t="s">
        <v>18</v>
      </c>
      <c r="H60" s="119" t="s">
        <v>76</v>
      </c>
      <c r="I60" s="124" t="s">
        <v>85</v>
      </c>
      <c r="K60" s="3">
        <v>500</v>
      </c>
      <c r="M60" s="3">
        <v>558.33333333333337</v>
      </c>
      <c r="O60" s="3">
        <f t="shared" si="3"/>
        <v>711.51862653497051</v>
      </c>
      <c r="Q60" s="3">
        <f t="shared" si="1"/>
        <v>1211.5186265349705</v>
      </c>
    </row>
    <row r="61" spans="5:17" x14ac:dyDescent="0.25">
      <c r="E61" s="44"/>
      <c r="F61" s="39"/>
      <c r="G61" s="121" t="s">
        <v>18</v>
      </c>
      <c r="H61" s="72" t="s">
        <v>76</v>
      </c>
      <c r="I61" s="122" t="s">
        <v>86</v>
      </c>
      <c r="K61" s="3">
        <v>500</v>
      </c>
      <c r="M61" s="3">
        <v>520</v>
      </c>
      <c r="O61" s="3">
        <f t="shared" si="3"/>
        <v>662.66809396689791</v>
      </c>
      <c r="Q61" s="3">
        <f t="shared" si="1"/>
        <v>1162.6680939668979</v>
      </c>
    </row>
    <row r="62" spans="5:17" x14ac:dyDescent="0.25">
      <c r="E62" s="44"/>
      <c r="F62" s="39"/>
      <c r="G62" s="30" t="s">
        <v>18</v>
      </c>
      <c r="H62" s="31" t="s">
        <v>76</v>
      </c>
      <c r="I62" s="32" t="s">
        <v>87</v>
      </c>
      <c r="K62" s="3">
        <v>500</v>
      </c>
      <c r="M62" s="3">
        <v>143.33333333333334</v>
      </c>
      <c r="O62" s="3">
        <f t="shared" si="3"/>
        <v>182.65851308061929</v>
      </c>
      <c r="Q62" s="3">
        <f t="shared" si="1"/>
        <v>682.65851308061929</v>
      </c>
    </row>
    <row r="63" spans="5:17" x14ac:dyDescent="0.25">
      <c r="E63" s="44"/>
      <c r="F63" s="39"/>
      <c r="G63" s="27" t="s">
        <v>18</v>
      </c>
      <c r="H63" s="28" t="s">
        <v>76</v>
      </c>
      <c r="I63" s="29" t="s">
        <v>88</v>
      </c>
      <c r="K63" s="3">
        <v>500</v>
      </c>
      <c r="M63" s="3">
        <v>816.66666666666663</v>
      </c>
      <c r="O63" s="3">
        <f t="shared" si="3"/>
        <v>1040.7287373198076</v>
      </c>
      <c r="Q63" s="3">
        <f t="shared" si="1"/>
        <v>1540.7287373198076</v>
      </c>
    </row>
    <row r="64" spans="5:17" x14ac:dyDescent="0.25">
      <c r="E64" s="44"/>
      <c r="F64" s="39"/>
      <c r="G64" s="30" t="s">
        <v>18</v>
      </c>
      <c r="H64" s="31" t="s">
        <v>76</v>
      </c>
      <c r="I64" s="32" t="s">
        <v>89</v>
      </c>
      <c r="K64" s="3">
        <v>500</v>
      </c>
      <c r="M64" s="3">
        <v>636.66666666666663</v>
      </c>
      <c r="O64" s="3">
        <f t="shared" si="3"/>
        <v>811.34362786972747</v>
      </c>
      <c r="Q64" s="3">
        <f t="shared" si="1"/>
        <v>1311.3436278697275</v>
      </c>
    </row>
    <row r="65" spans="5:17" x14ac:dyDescent="0.25">
      <c r="E65" s="44"/>
      <c r="F65" s="39"/>
      <c r="G65" s="27" t="s">
        <v>18</v>
      </c>
      <c r="H65" s="28" t="s">
        <v>76</v>
      </c>
      <c r="I65" s="29" t="s">
        <v>90</v>
      </c>
      <c r="K65" s="3">
        <v>500</v>
      </c>
      <c r="M65" s="3">
        <v>911.66666666666663</v>
      </c>
      <c r="O65" s="3">
        <f t="shared" si="3"/>
        <v>1161.793100640683</v>
      </c>
      <c r="Q65" s="3">
        <f t="shared" si="1"/>
        <v>1661.793100640683</v>
      </c>
    </row>
    <row r="66" spans="5:17" x14ac:dyDescent="0.25">
      <c r="E66" s="44"/>
      <c r="F66" s="39"/>
      <c r="G66" s="30" t="s">
        <v>18</v>
      </c>
      <c r="H66" s="31" t="s">
        <v>76</v>
      </c>
      <c r="I66" s="32" t="s">
        <v>91</v>
      </c>
      <c r="K66" s="3">
        <v>500</v>
      </c>
      <c r="M66" s="3">
        <v>556.66666666666663</v>
      </c>
      <c r="O66" s="3">
        <f t="shared" si="3"/>
        <v>709.39469033635851</v>
      </c>
      <c r="Q66" s="3">
        <f t="shared" si="1"/>
        <v>1209.3946903363585</v>
      </c>
    </row>
    <row r="67" spans="5:17" x14ac:dyDescent="0.25">
      <c r="E67" s="44"/>
      <c r="F67" s="39"/>
      <c r="G67" s="27" t="s">
        <v>18</v>
      </c>
      <c r="H67" s="28" t="s">
        <v>76</v>
      </c>
      <c r="I67" s="29" t="s">
        <v>92</v>
      </c>
      <c r="K67" s="3">
        <v>500</v>
      </c>
      <c r="M67" s="3">
        <v>1286.6666666666667</v>
      </c>
      <c r="O67" s="3">
        <f t="shared" si="3"/>
        <v>1639.67874532835</v>
      </c>
      <c r="Q67" s="3">
        <f t="shared" si="1"/>
        <v>2139.67874532835</v>
      </c>
    </row>
    <row r="68" spans="5:17" x14ac:dyDescent="0.25">
      <c r="E68" s="44"/>
      <c r="F68" s="39"/>
      <c r="G68" s="30" t="s">
        <v>18</v>
      </c>
      <c r="H68" s="31" t="s">
        <v>76</v>
      </c>
      <c r="I68" s="32" t="s">
        <v>93</v>
      </c>
      <c r="K68" s="3">
        <v>500</v>
      </c>
      <c r="M68" s="3">
        <v>908.33333333333337</v>
      </c>
      <c r="O68" s="3">
        <f t="shared" si="3"/>
        <v>1157.5452282434594</v>
      </c>
      <c r="Q68" s="3">
        <f t="shared" ref="Q68:Q90" si="4">SUM(K68+O68)</f>
        <v>1657.5452282434594</v>
      </c>
    </row>
    <row r="69" spans="5:17" x14ac:dyDescent="0.25">
      <c r="E69" s="44"/>
      <c r="F69" s="39"/>
      <c r="G69" s="27" t="s">
        <v>18</v>
      </c>
      <c r="H69" s="28" t="s">
        <v>76</v>
      </c>
      <c r="I69" s="29" t="s">
        <v>94</v>
      </c>
      <c r="K69" s="3">
        <v>500</v>
      </c>
      <c r="M69" s="3">
        <v>233.33333333333334</v>
      </c>
      <c r="O69" s="3">
        <f t="shared" si="3"/>
        <v>297.35106780565928</v>
      </c>
      <c r="Q69" s="3">
        <f t="shared" si="4"/>
        <v>797.35106780565934</v>
      </c>
    </row>
    <row r="70" spans="5:17" x14ac:dyDescent="0.25">
      <c r="E70" s="44"/>
      <c r="F70" s="39"/>
      <c r="G70" s="126" t="s">
        <v>116</v>
      </c>
      <c r="H70" s="127" t="s">
        <v>76</v>
      </c>
      <c r="I70" s="128" t="s">
        <v>117</v>
      </c>
      <c r="K70" s="3">
        <v>500</v>
      </c>
      <c r="M70" s="3">
        <v>0</v>
      </c>
      <c r="O70" s="3">
        <f t="shared" si="3"/>
        <v>0</v>
      </c>
      <c r="Q70" s="3">
        <f t="shared" si="4"/>
        <v>500</v>
      </c>
    </row>
    <row r="71" spans="5:17" x14ac:dyDescent="0.25">
      <c r="E71" s="44"/>
      <c r="F71" s="39"/>
      <c r="G71" s="129" t="s">
        <v>18</v>
      </c>
      <c r="H71" s="125" t="s">
        <v>76</v>
      </c>
      <c r="I71" s="130" t="s">
        <v>95</v>
      </c>
      <c r="K71" s="3">
        <v>500</v>
      </c>
      <c r="M71" s="3">
        <v>223.33333333333334</v>
      </c>
      <c r="O71" s="3">
        <f t="shared" si="3"/>
        <v>284.60745061398819</v>
      </c>
      <c r="Q71" s="3">
        <f t="shared" si="4"/>
        <v>784.60745061398825</v>
      </c>
    </row>
    <row r="72" spans="5:17" x14ac:dyDescent="0.25">
      <c r="E72" s="44"/>
      <c r="F72" s="39"/>
      <c r="G72" s="131" t="s">
        <v>18</v>
      </c>
      <c r="H72" s="132" t="s">
        <v>76</v>
      </c>
      <c r="I72" s="133" t="s">
        <v>96</v>
      </c>
      <c r="K72" s="3">
        <v>500</v>
      </c>
      <c r="M72" s="3">
        <v>558.33333333333337</v>
      </c>
      <c r="O72" s="3">
        <f t="shared" si="3"/>
        <v>711.51862653497051</v>
      </c>
      <c r="Q72" s="3">
        <f t="shared" si="4"/>
        <v>1211.5186265349705</v>
      </c>
    </row>
    <row r="73" spans="5:17" x14ac:dyDescent="0.25">
      <c r="E73" s="44"/>
      <c r="F73" s="39"/>
      <c r="G73" s="27" t="s">
        <v>34</v>
      </c>
      <c r="H73" s="28" t="s">
        <v>76</v>
      </c>
      <c r="I73" s="29" t="s">
        <v>111</v>
      </c>
      <c r="K73" s="3">
        <v>500</v>
      </c>
      <c r="M73" s="3">
        <v>270</v>
      </c>
      <c r="O73" s="3">
        <f t="shared" si="3"/>
        <v>344.07766417512005</v>
      </c>
      <c r="Q73" s="3">
        <f t="shared" si="4"/>
        <v>844.07766417512005</v>
      </c>
    </row>
    <row r="74" spans="5:17" x14ac:dyDescent="0.25">
      <c r="E74" s="44"/>
      <c r="F74" s="39"/>
      <c r="G74" s="123" t="s">
        <v>18</v>
      </c>
      <c r="H74" s="119" t="s">
        <v>76</v>
      </c>
      <c r="I74" s="124" t="s">
        <v>113</v>
      </c>
      <c r="K74" s="3">
        <v>500</v>
      </c>
      <c r="M74" s="3">
        <v>0</v>
      </c>
      <c r="O74" s="3">
        <f t="shared" si="3"/>
        <v>0</v>
      </c>
      <c r="Q74" s="3">
        <f t="shared" si="4"/>
        <v>500</v>
      </c>
    </row>
    <row r="75" spans="5:17" x14ac:dyDescent="0.25">
      <c r="E75" s="44"/>
      <c r="F75" s="39"/>
      <c r="G75" s="121" t="s">
        <v>18</v>
      </c>
      <c r="H75" s="72" t="s">
        <v>76</v>
      </c>
      <c r="I75" s="122" t="s">
        <v>114</v>
      </c>
      <c r="K75" s="3">
        <v>500</v>
      </c>
      <c r="M75" s="3">
        <v>0</v>
      </c>
      <c r="O75" s="3">
        <f t="shared" si="3"/>
        <v>0</v>
      </c>
      <c r="Q75" s="3">
        <f t="shared" si="4"/>
        <v>500</v>
      </c>
    </row>
    <row r="76" spans="5:17" x14ac:dyDescent="0.25">
      <c r="E76" s="44"/>
      <c r="F76" s="39"/>
      <c r="G76" s="123" t="s">
        <v>18</v>
      </c>
      <c r="H76" s="119" t="s">
        <v>76</v>
      </c>
      <c r="I76" s="124" t="s">
        <v>37</v>
      </c>
      <c r="K76" s="3">
        <v>500</v>
      </c>
      <c r="M76" s="3">
        <v>530</v>
      </c>
      <c r="O76" s="3">
        <f t="shared" si="3"/>
        <v>675.41171115856901</v>
      </c>
      <c r="P76" s="3">
        <f>SUM(O50:O76)</f>
        <v>15912.529999999999</v>
      </c>
      <c r="Q76" s="3">
        <f t="shared" si="4"/>
        <v>1175.411711158569</v>
      </c>
    </row>
    <row r="77" spans="5:17" x14ac:dyDescent="0.25">
      <c r="E77" s="44"/>
      <c r="F77" s="39"/>
      <c r="G77" s="123" t="s">
        <v>34</v>
      </c>
      <c r="H77" s="119" t="s">
        <v>76</v>
      </c>
      <c r="I77" s="124" t="s">
        <v>297</v>
      </c>
      <c r="K77" s="3">
        <v>500</v>
      </c>
      <c r="M77" s="3">
        <v>0</v>
      </c>
      <c r="O77" s="3">
        <f t="shared" si="3"/>
        <v>0</v>
      </c>
      <c r="P77" s="3"/>
      <c r="Q77" s="3">
        <f t="shared" si="4"/>
        <v>500</v>
      </c>
    </row>
    <row r="78" spans="5:17" x14ac:dyDescent="0.25">
      <c r="E78" s="44"/>
      <c r="F78" s="39"/>
      <c r="G78" s="27"/>
      <c r="H78" s="28"/>
      <c r="I78" s="29"/>
      <c r="K78" s="3"/>
      <c r="M78" s="3"/>
      <c r="O78" s="3"/>
      <c r="Q78" s="3"/>
    </row>
    <row r="79" spans="5:17" x14ac:dyDescent="0.25">
      <c r="E79" s="44"/>
      <c r="F79" s="39"/>
      <c r="G79" s="123" t="s">
        <v>34</v>
      </c>
      <c r="H79" s="119" t="s">
        <v>97</v>
      </c>
      <c r="I79" s="124" t="s">
        <v>98</v>
      </c>
      <c r="K79" s="3">
        <v>500</v>
      </c>
      <c r="M79" s="3">
        <v>220</v>
      </c>
      <c r="N79" s="47"/>
      <c r="O79" s="3">
        <f>SUM(M79*$C$45)</f>
        <v>277.59028248587572</v>
      </c>
      <c r="P79" s="26"/>
      <c r="Q79" s="3">
        <f t="shared" si="4"/>
        <v>777.59028248587572</v>
      </c>
    </row>
    <row r="80" spans="5:17" x14ac:dyDescent="0.25">
      <c r="E80" s="44"/>
      <c r="F80" s="39"/>
      <c r="G80" s="121" t="s">
        <v>18</v>
      </c>
      <c r="H80" s="72" t="s">
        <v>99</v>
      </c>
      <c r="I80" s="122" t="s">
        <v>100</v>
      </c>
      <c r="K80" s="3">
        <v>500</v>
      </c>
      <c r="M80" s="3">
        <v>540</v>
      </c>
      <c r="N80" s="3"/>
      <c r="O80" s="3">
        <f t="shared" ref="O80:O83" si="5">SUM(M80*$C$45)</f>
        <v>681.35796610169496</v>
      </c>
      <c r="Q80" s="3">
        <f t="shared" si="4"/>
        <v>1181.357966101695</v>
      </c>
    </row>
    <row r="81" spans="5:17" x14ac:dyDescent="0.25">
      <c r="E81" s="44"/>
      <c r="F81" s="39"/>
      <c r="G81" s="30" t="s">
        <v>18</v>
      </c>
      <c r="H81" s="31" t="s">
        <v>99</v>
      </c>
      <c r="I81" s="32" t="s">
        <v>101</v>
      </c>
      <c r="K81" s="3">
        <v>500</v>
      </c>
      <c r="M81" s="3">
        <v>528.33333333333337</v>
      </c>
      <c r="O81" s="3">
        <f t="shared" si="5"/>
        <v>666.63726930320161</v>
      </c>
      <c r="Q81" s="3">
        <f t="shared" si="4"/>
        <v>1166.6372693032017</v>
      </c>
    </row>
    <row r="82" spans="5:17" x14ac:dyDescent="0.25">
      <c r="E82" s="44"/>
      <c r="F82" s="39"/>
      <c r="G82" s="27" t="s">
        <v>18</v>
      </c>
      <c r="H82" s="28" t="s">
        <v>99</v>
      </c>
      <c r="I82" s="29" t="s">
        <v>102</v>
      </c>
      <c r="K82" s="3">
        <v>500</v>
      </c>
      <c r="M82" s="3">
        <v>356.66666666666669</v>
      </c>
      <c r="O82" s="3">
        <f t="shared" si="5"/>
        <v>450.03273069679852</v>
      </c>
      <c r="Q82" s="3">
        <f t="shared" si="4"/>
        <v>950.03273069679858</v>
      </c>
    </row>
    <row r="83" spans="5:17" x14ac:dyDescent="0.25">
      <c r="E83" s="44"/>
      <c r="F83" s="39"/>
      <c r="G83" s="30" t="s">
        <v>34</v>
      </c>
      <c r="H83" s="31" t="s">
        <v>99</v>
      </c>
      <c r="I83" s="32" t="s">
        <v>103</v>
      </c>
      <c r="K83" s="3">
        <v>500</v>
      </c>
      <c r="M83" s="3">
        <v>1010</v>
      </c>
      <c r="O83" s="3">
        <f t="shared" si="5"/>
        <v>1274.3917514124294</v>
      </c>
      <c r="P83" s="3">
        <f>SUM(O79:O83)</f>
        <v>3350.01</v>
      </c>
      <c r="Q83" s="3">
        <f t="shared" si="4"/>
        <v>1774.3917514124294</v>
      </c>
    </row>
    <row r="84" spans="5:17" x14ac:dyDescent="0.25">
      <c r="E84" s="44"/>
      <c r="F84" s="39"/>
      <c r="G84" s="121"/>
      <c r="H84" s="72"/>
      <c r="I84" s="122"/>
      <c r="K84" s="3"/>
      <c r="M84" s="3"/>
      <c r="O84" s="3"/>
      <c r="Q84" s="3"/>
    </row>
    <row r="85" spans="5:17" x14ac:dyDescent="0.25">
      <c r="E85" s="44"/>
      <c r="F85" s="39"/>
      <c r="G85" s="121" t="s">
        <v>18</v>
      </c>
      <c r="H85" s="72" t="s">
        <v>242</v>
      </c>
      <c r="I85" s="122" t="s">
        <v>83</v>
      </c>
      <c r="K85" s="3">
        <v>500</v>
      </c>
      <c r="M85" s="3">
        <v>0</v>
      </c>
      <c r="O85" s="3">
        <v>0</v>
      </c>
      <c r="Q85" s="3">
        <f t="shared" si="4"/>
        <v>500</v>
      </c>
    </row>
    <row r="86" spans="5:17" x14ac:dyDescent="0.25">
      <c r="E86" s="44"/>
      <c r="F86" s="39"/>
      <c r="G86" s="123" t="s">
        <v>34</v>
      </c>
      <c r="H86" s="119" t="s">
        <v>242</v>
      </c>
      <c r="I86" s="124" t="s">
        <v>109</v>
      </c>
      <c r="K86" s="3">
        <v>500</v>
      </c>
      <c r="M86" s="3">
        <v>0</v>
      </c>
      <c r="O86" s="3">
        <v>0</v>
      </c>
      <c r="Q86" s="3">
        <f t="shared" si="4"/>
        <v>500</v>
      </c>
    </row>
    <row r="87" spans="5:17" x14ac:dyDescent="0.25">
      <c r="E87" s="44"/>
      <c r="F87" s="39"/>
      <c r="G87" s="121" t="s">
        <v>18</v>
      </c>
      <c r="H87" s="72" t="s">
        <v>242</v>
      </c>
      <c r="I87" s="122" t="s">
        <v>110</v>
      </c>
      <c r="K87" s="3">
        <v>500</v>
      </c>
      <c r="M87" s="3">
        <v>0</v>
      </c>
      <c r="O87" s="3">
        <v>0</v>
      </c>
      <c r="Q87" s="3">
        <f t="shared" si="4"/>
        <v>500</v>
      </c>
    </row>
    <row r="88" spans="5:17" x14ac:dyDescent="0.25">
      <c r="E88" s="44"/>
      <c r="F88" s="39"/>
      <c r="G88" s="123" t="s">
        <v>18</v>
      </c>
      <c r="H88" s="119" t="s">
        <v>242</v>
      </c>
      <c r="I88" s="124" t="s">
        <v>105</v>
      </c>
      <c r="K88" s="3">
        <v>500</v>
      </c>
      <c r="M88" s="3">
        <v>0</v>
      </c>
      <c r="O88" s="3">
        <v>0</v>
      </c>
      <c r="Q88" s="3">
        <f t="shared" si="4"/>
        <v>500</v>
      </c>
    </row>
    <row r="89" spans="5:17" x14ac:dyDescent="0.25">
      <c r="E89" s="44"/>
      <c r="F89" s="39"/>
      <c r="G89" s="121" t="s">
        <v>18</v>
      </c>
      <c r="H89" s="72" t="s">
        <v>242</v>
      </c>
      <c r="I89" s="122" t="s">
        <v>112</v>
      </c>
      <c r="K89" s="3">
        <v>500</v>
      </c>
      <c r="M89" s="3">
        <v>0</v>
      </c>
      <c r="O89" s="3">
        <v>0</v>
      </c>
      <c r="Q89" s="3">
        <f t="shared" si="4"/>
        <v>500</v>
      </c>
    </row>
    <row r="90" spans="5:17" x14ac:dyDescent="0.25">
      <c r="E90" s="44"/>
      <c r="F90" s="39"/>
      <c r="G90" s="123" t="s">
        <v>34</v>
      </c>
      <c r="H90" s="119" t="s">
        <v>242</v>
      </c>
      <c r="I90" s="124" t="s">
        <v>115</v>
      </c>
      <c r="K90" s="3">
        <v>500</v>
      </c>
      <c r="M90" s="3">
        <v>0</v>
      </c>
      <c r="O90" s="3">
        <v>0</v>
      </c>
      <c r="Q90" s="3">
        <f t="shared" si="4"/>
        <v>500</v>
      </c>
    </row>
    <row r="92" spans="5:17" ht="15.75" thickBot="1" x14ac:dyDescent="0.3">
      <c r="E92" s="44"/>
      <c r="F92" s="39"/>
      <c r="M92" s="189"/>
    </row>
    <row r="93" spans="5:17" ht="15.75" thickBot="1" x14ac:dyDescent="0.3">
      <c r="E93" s="44"/>
      <c r="F93" s="39"/>
      <c r="I93" s="10" t="s">
        <v>10</v>
      </c>
      <c r="K93" s="11">
        <f>SUM(K3:K90)</f>
        <v>40000</v>
      </c>
      <c r="M93" s="190"/>
      <c r="O93" s="11">
        <f>SUM(O3:O90)</f>
        <v>37185.069999999992</v>
      </c>
      <c r="Q93" s="11">
        <f>SUM(Q3:Q90)</f>
        <v>77185.069999999992</v>
      </c>
    </row>
    <row r="94" spans="5:17" x14ac:dyDescent="0.25">
      <c r="E94" s="44"/>
      <c r="F94" s="39"/>
      <c r="M94" s="189"/>
      <c r="Q94" s="3"/>
    </row>
    <row r="95" spans="5:17" x14ac:dyDescent="0.25">
      <c r="E95" s="44"/>
      <c r="F95" s="39"/>
      <c r="O95" s="48"/>
      <c r="Q95" s="3"/>
    </row>
    <row r="96" spans="5:17" ht="15.75" thickBot="1" x14ac:dyDescent="0.3">
      <c r="E96" s="44"/>
      <c r="F96" s="39"/>
      <c r="O96" s="39"/>
    </row>
    <row r="97" spans="5:15" ht="15.75" thickBot="1" x14ac:dyDescent="0.3">
      <c r="E97" s="44"/>
      <c r="F97" s="39"/>
      <c r="O97" s="168"/>
    </row>
    <row r="98" spans="5:15" x14ac:dyDescent="0.25">
      <c r="E98" s="44"/>
      <c r="F98" s="39"/>
      <c r="O98" s="39"/>
    </row>
    <row r="99" spans="5:15" x14ac:dyDescent="0.25">
      <c r="E99" s="44"/>
      <c r="F99" s="39"/>
    </row>
    <row r="100" spans="5:15" x14ac:dyDescent="0.25">
      <c r="E100" s="44"/>
      <c r="F100" s="39"/>
    </row>
    <row r="101" spans="5:15" x14ac:dyDescent="0.25">
      <c r="E101" s="44"/>
      <c r="F101" s="39"/>
    </row>
    <row r="102" spans="5:15" x14ac:dyDescent="0.25">
      <c r="E102" s="44"/>
      <c r="F102" s="39"/>
    </row>
    <row r="103" spans="5:15" x14ac:dyDescent="0.25">
      <c r="E103" s="44"/>
      <c r="F103" s="39"/>
    </row>
    <row r="104" spans="5:15" x14ac:dyDescent="0.25">
      <c r="E104" s="44"/>
      <c r="F104" s="39"/>
    </row>
    <row r="105" spans="5:15" x14ac:dyDescent="0.25">
      <c r="E105" s="44"/>
      <c r="F105" s="39"/>
    </row>
    <row r="106" spans="5:15" x14ac:dyDescent="0.25">
      <c r="E106" s="44"/>
      <c r="F106" s="39"/>
    </row>
    <row r="107" spans="5:15" x14ac:dyDescent="0.25">
      <c r="E107" s="44"/>
      <c r="F107" s="39"/>
    </row>
    <row r="108" spans="5:15" x14ac:dyDescent="0.25">
      <c r="E108" s="44"/>
      <c r="F108" s="39"/>
    </row>
    <row r="109" spans="5:15" x14ac:dyDescent="0.25">
      <c r="E109" s="44"/>
      <c r="F109" s="39"/>
    </row>
    <row r="110" spans="5:15" x14ac:dyDescent="0.25">
      <c r="E110" s="44"/>
      <c r="F110" s="39"/>
    </row>
    <row r="111" spans="5:15" x14ac:dyDescent="0.25">
      <c r="E111" s="44"/>
      <c r="F111" s="39"/>
    </row>
    <row r="112" spans="5:15" x14ac:dyDescent="0.25">
      <c r="E112" s="44"/>
      <c r="F112" s="39"/>
    </row>
    <row r="113" spans="5:6" x14ac:dyDescent="0.25">
      <c r="E113" s="44"/>
      <c r="F113" s="39"/>
    </row>
    <row r="114" spans="5:6" x14ac:dyDescent="0.25">
      <c r="E114" s="44"/>
      <c r="F114" s="39"/>
    </row>
    <row r="115" spans="5:6" x14ac:dyDescent="0.25">
      <c r="E115" s="44"/>
      <c r="F115" s="39"/>
    </row>
    <row r="116" spans="5:6" x14ac:dyDescent="0.25">
      <c r="E116" s="44"/>
      <c r="F116" s="39"/>
    </row>
    <row r="117" spans="5:6" x14ac:dyDescent="0.25">
      <c r="E117" s="44"/>
      <c r="F117" s="39"/>
    </row>
    <row r="118" spans="5:6" x14ac:dyDescent="0.25">
      <c r="E118" s="44"/>
      <c r="F118" s="39"/>
    </row>
    <row r="119" spans="5:6" x14ac:dyDescent="0.25">
      <c r="E119" s="44"/>
      <c r="F119" s="39"/>
    </row>
    <row r="120" spans="5:6" x14ac:dyDescent="0.25">
      <c r="E120" s="44"/>
      <c r="F120" s="39"/>
    </row>
    <row r="121" spans="5:6" x14ac:dyDescent="0.25">
      <c r="E121" s="44"/>
      <c r="F121" s="39"/>
    </row>
    <row r="122" spans="5:6" x14ac:dyDescent="0.25">
      <c r="E122" s="44"/>
      <c r="F122" s="39"/>
    </row>
    <row r="123" spans="5:6" x14ac:dyDescent="0.25">
      <c r="E123" s="44"/>
      <c r="F123" s="39"/>
    </row>
    <row r="124" spans="5:6" x14ac:dyDescent="0.25">
      <c r="E124" s="44"/>
      <c r="F124" s="39"/>
    </row>
    <row r="125" spans="5:6" x14ac:dyDescent="0.25">
      <c r="E125" s="44"/>
      <c r="F125" s="39"/>
    </row>
    <row r="126" spans="5:6" x14ac:dyDescent="0.25">
      <c r="E126" s="44"/>
      <c r="F126" s="39"/>
    </row>
    <row r="127" spans="5:6" x14ac:dyDescent="0.25">
      <c r="E127" s="44"/>
      <c r="F127" s="39"/>
    </row>
    <row r="128" spans="5:6" x14ac:dyDescent="0.25">
      <c r="E128" s="44"/>
      <c r="F128" s="39"/>
    </row>
    <row r="129" spans="5:6" x14ac:dyDescent="0.25">
      <c r="E129" s="44"/>
      <c r="F129" s="39"/>
    </row>
    <row r="130" spans="5:6" x14ac:dyDescent="0.25">
      <c r="E130" s="44"/>
      <c r="F130" s="39"/>
    </row>
    <row r="131" spans="5:6" x14ac:dyDescent="0.25">
      <c r="E131" s="44"/>
      <c r="F131" s="39"/>
    </row>
    <row r="132" spans="5:6" x14ac:dyDescent="0.25">
      <c r="E132" s="44"/>
      <c r="F132" s="39"/>
    </row>
    <row r="133" spans="5:6" x14ac:dyDescent="0.25">
      <c r="E133" s="44"/>
      <c r="F133" s="39"/>
    </row>
    <row r="134" spans="5:6" x14ac:dyDescent="0.25">
      <c r="E134" s="44"/>
      <c r="F134" s="39"/>
    </row>
    <row r="135" spans="5:6" x14ac:dyDescent="0.25">
      <c r="E135" s="44"/>
      <c r="F135" s="39"/>
    </row>
    <row r="136" spans="5:6" x14ac:dyDescent="0.25">
      <c r="E136" s="44"/>
      <c r="F136" s="39"/>
    </row>
    <row r="137" spans="5:6" x14ac:dyDescent="0.25">
      <c r="E137" s="44"/>
      <c r="F137" s="39"/>
    </row>
    <row r="138" spans="5:6" x14ac:dyDescent="0.25">
      <c r="E138" s="44"/>
      <c r="F138" s="39"/>
    </row>
    <row r="139" spans="5:6" x14ac:dyDescent="0.25">
      <c r="E139" s="44"/>
      <c r="F139" s="39"/>
    </row>
    <row r="140" spans="5:6" x14ac:dyDescent="0.25">
      <c r="E140" s="44"/>
      <c r="F140" s="39"/>
    </row>
    <row r="141" spans="5:6" x14ac:dyDescent="0.25">
      <c r="E141" s="44"/>
      <c r="F141" s="39"/>
    </row>
    <row r="142" spans="5:6" x14ac:dyDescent="0.25">
      <c r="E142" s="44"/>
      <c r="F142" s="39"/>
    </row>
    <row r="143" spans="5:6" x14ac:dyDescent="0.25">
      <c r="E143" s="44"/>
      <c r="F143" s="39"/>
    </row>
    <row r="144" spans="5:6" x14ac:dyDescent="0.25">
      <c r="E144" s="44"/>
      <c r="F144" s="39"/>
    </row>
    <row r="145" spans="5:6" x14ac:dyDescent="0.25">
      <c r="E145" s="44"/>
      <c r="F145" s="39"/>
    </row>
    <row r="146" spans="5:6" x14ac:dyDescent="0.25">
      <c r="E146" s="44"/>
      <c r="F146" s="39"/>
    </row>
    <row r="147" spans="5:6" x14ac:dyDescent="0.25">
      <c r="E147" s="44"/>
      <c r="F147" s="39"/>
    </row>
    <row r="148" spans="5:6" x14ac:dyDescent="0.25">
      <c r="E148" s="44"/>
      <c r="F148" s="39"/>
    </row>
    <row r="149" spans="5:6" x14ac:dyDescent="0.25">
      <c r="E149" s="44"/>
      <c r="F149" s="39"/>
    </row>
    <row r="150" spans="5:6" x14ac:dyDescent="0.25">
      <c r="E150" s="44"/>
      <c r="F150" s="39"/>
    </row>
    <row r="151" spans="5:6" x14ac:dyDescent="0.25">
      <c r="E151" s="44"/>
      <c r="F151" s="39"/>
    </row>
    <row r="152" spans="5:6" x14ac:dyDescent="0.25">
      <c r="E152" s="44"/>
      <c r="F152" s="39"/>
    </row>
    <row r="153" spans="5:6" x14ac:dyDescent="0.25">
      <c r="E153" s="44"/>
      <c r="F153" s="39"/>
    </row>
    <row r="154" spans="5:6" x14ac:dyDescent="0.25">
      <c r="E154" s="44"/>
      <c r="F154" s="39"/>
    </row>
    <row r="155" spans="5:6" x14ac:dyDescent="0.25">
      <c r="E155" s="44"/>
      <c r="F155" s="39"/>
    </row>
    <row r="156" spans="5:6" x14ac:dyDescent="0.25">
      <c r="E156" s="44"/>
      <c r="F156" s="39"/>
    </row>
    <row r="157" spans="5:6" x14ac:dyDescent="0.25">
      <c r="E157" s="44"/>
      <c r="F157" s="39"/>
    </row>
    <row r="158" spans="5:6" x14ac:dyDescent="0.25">
      <c r="E158" s="44"/>
      <c r="F158" s="39"/>
    </row>
    <row r="159" spans="5:6" x14ac:dyDescent="0.25">
      <c r="E159" s="44"/>
      <c r="F159" s="39"/>
    </row>
    <row r="160" spans="5:6" x14ac:dyDescent="0.25">
      <c r="E160" s="44"/>
      <c r="F160" s="39"/>
    </row>
    <row r="161" spans="5:6" x14ac:dyDescent="0.25">
      <c r="E161" s="44"/>
      <c r="F161" s="39"/>
    </row>
    <row r="162" spans="5:6" x14ac:dyDescent="0.25">
      <c r="E162" s="44"/>
      <c r="F162" s="39"/>
    </row>
    <row r="163" spans="5:6" x14ac:dyDescent="0.25">
      <c r="E163" s="44"/>
      <c r="F163" s="39"/>
    </row>
    <row r="164" spans="5:6" x14ac:dyDescent="0.25">
      <c r="E164" s="44"/>
      <c r="F164" s="39"/>
    </row>
    <row r="165" spans="5:6" x14ac:dyDescent="0.25">
      <c r="E165" s="44"/>
      <c r="F165" s="39"/>
    </row>
    <row r="166" spans="5:6" x14ac:dyDescent="0.25">
      <c r="E166" s="44"/>
      <c r="F166" s="39"/>
    </row>
    <row r="167" spans="5:6" x14ac:dyDescent="0.25">
      <c r="E167" s="44"/>
      <c r="F167" s="39"/>
    </row>
    <row r="168" spans="5:6" x14ac:dyDescent="0.25">
      <c r="E168" s="44"/>
      <c r="F168" s="39"/>
    </row>
    <row r="169" spans="5:6" x14ac:dyDescent="0.25">
      <c r="E169" s="44"/>
      <c r="F169" s="39"/>
    </row>
    <row r="170" spans="5:6" x14ac:dyDescent="0.25">
      <c r="E170" s="44"/>
      <c r="F170" s="39"/>
    </row>
    <row r="171" spans="5:6" x14ac:dyDescent="0.25">
      <c r="E171" s="44"/>
      <c r="F171" s="39"/>
    </row>
    <row r="172" spans="5:6" x14ac:dyDescent="0.25">
      <c r="E172" s="44"/>
      <c r="F172" s="39"/>
    </row>
    <row r="173" spans="5:6" x14ac:dyDescent="0.25">
      <c r="E173" s="44"/>
      <c r="F173" s="39"/>
    </row>
    <row r="174" spans="5:6" x14ac:dyDescent="0.25">
      <c r="E174" s="44"/>
      <c r="F174" s="39"/>
    </row>
    <row r="175" spans="5:6" x14ac:dyDescent="0.25">
      <c r="E175" s="44"/>
      <c r="F175" s="39"/>
    </row>
    <row r="176" spans="5:6" x14ac:dyDescent="0.25">
      <c r="E176" s="44"/>
      <c r="F176" s="39"/>
    </row>
    <row r="177" spans="5:6" x14ac:dyDescent="0.25">
      <c r="E177" s="44"/>
      <c r="F177" s="39"/>
    </row>
    <row r="178" spans="5:6" x14ac:dyDescent="0.25">
      <c r="E178" s="44"/>
      <c r="F178" s="39"/>
    </row>
    <row r="179" spans="5:6" x14ac:dyDescent="0.25">
      <c r="E179" s="44"/>
      <c r="F179" s="39"/>
    </row>
    <row r="180" spans="5:6" x14ac:dyDescent="0.25">
      <c r="E180" s="44"/>
      <c r="F180" s="39"/>
    </row>
    <row r="181" spans="5:6" x14ac:dyDescent="0.25">
      <c r="E181" s="44"/>
      <c r="F181" s="39"/>
    </row>
    <row r="182" spans="5:6" x14ac:dyDescent="0.25">
      <c r="E182" s="44"/>
      <c r="F182" s="39"/>
    </row>
    <row r="183" spans="5:6" x14ac:dyDescent="0.25">
      <c r="E183" s="44"/>
      <c r="F183" s="39"/>
    </row>
    <row r="184" spans="5:6" x14ac:dyDescent="0.25">
      <c r="E184" s="44"/>
      <c r="F184" s="39"/>
    </row>
    <row r="185" spans="5:6" x14ac:dyDescent="0.25">
      <c r="E185" s="44"/>
      <c r="F185" s="39"/>
    </row>
    <row r="186" spans="5:6" x14ac:dyDescent="0.25">
      <c r="E186" s="44"/>
      <c r="F186" s="39"/>
    </row>
    <row r="187" spans="5:6" x14ac:dyDescent="0.25">
      <c r="E187" s="44"/>
      <c r="F187" s="39"/>
    </row>
    <row r="188" spans="5:6" x14ac:dyDescent="0.25">
      <c r="E188" s="44"/>
      <c r="F188" s="39"/>
    </row>
    <row r="189" spans="5:6" x14ac:dyDescent="0.25">
      <c r="E189" s="44"/>
      <c r="F189" s="39"/>
    </row>
    <row r="190" spans="5:6" x14ac:dyDescent="0.25">
      <c r="E190" s="44"/>
      <c r="F190" s="39"/>
    </row>
    <row r="191" spans="5:6" x14ac:dyDescent="0.25">
      <c r="E191" s="44"/>
      <c r="F191" s="39"/>
    </row>
    <row r="192" spans="5:6" x14ac:dyDescent="0.25">
      <c r="E192" s="44"/>
      <c r="F192" s="39"/>
    </row>
    <row r="193" spans="5:6" x14ac:dyDescent="0.25">
      <c r="E193" s="44"/>
      <c r="F193" s="39"/>
    </row>
    <row r="194" spans="5:6" x14ac:dyDescent="0.25">
      <c r="E194" s="44"/>
      <c r="F194" s="39"/>
    </row>
    <row r="195" spans="5:6" x14ac:dyDescent="0.25">
      <c r="E195" s="44"/>
      <c r="F195" s="39"/>
    </row>
    <row r="196" spans="5:6" x14ac:dyDescent="0.25">
      <c r="E196" s="44"/>
      <c r="F196" s="39"/>
    </row>
    <row r="197" spans="5:6" x14ac:dyDescent="0.25">
      <c r="E197" s="44"/>
      <c r="F197" s="39"/>
    </row>
    <row r="198" spans="5:6" x14ac:dyDescent="0.25">
      <c r="E198" s="44"/>
      <c r="F198" s="39"/>
    </row>
    <row r="199" spans="5:6" x14ac:dyDescent="0.25">
      <c r="E199" s="44"/>
      <c r="F199" s="39"/>
    </row>
    <row r="200" spans="5:6" x14ac:dyDescent="0.25">
      <c r="E200" s="44"/>
      <c r="F200" s="39"/>
    </row>
    <row r="201" spans="5:6" x14ac:dyDescent="0.25">
      <c r="E201" s="44"/>
      <c r="F201" s="39"/>
    </row>
    <row r="202" spans="5:6" x14ac:dyDescent="0.25">
      <c r="E202" s="44"/>
      <c r="F202" s="39"/>
    </row>
    <row r="203" spans="5:6" x14ac:dyDescent="0.25">
      <c r="E203" s="44"/>
      <c r="F203" s="39"/>
    </row>
    <row r="204" spans="5:6" x14ac:dyDescent="0.25">
      <c r="E204" s="44"/>
      <c r="F204" s="39"/>
    </row>
    <row r="205" spans="5:6" x14ac:dyDescent="0.25">
      <c r="E205" s="44"/>
      <c r="F205" s="39"/>
    </row>
    <row r="206" spans="5:6" x14ac:dyDescent="0.25">
      <c r="E206" s="44"/>
      <c r="F206" s="39"/>
    </row>
    <row r="207" spans="5:6" x14ac:dyDescent="0.25">
      <c r="E207" s="44"/>
      <c r="F207" s="39"/>
    </row>
    <row r="208" spans="5:6" x14ac:dyDescent="0.25">
      <c r="E208" s="44"/>
      <c r="F208" s="39"/>
    </row>
    <row r="209" spans="3:6" x14ac:dyDescent="0.25">
      <c r="E209" s="39"/>
      <c r="F209" s="39"/>
    </row>
    <row r="210" spans="3:6" x14ac:dyDescent="0.25">
      <c r="C210" s="49"/>
      <c r="E210" s="44"/>
      <c r="F210" s="39"/>
    </row>
    <row r="211" spans="3:6" x14ac:dyDescent="0.25">
      <c r="E211" s="39"/>
      <c r="F211" s="39"/>
    </row>
    <row r="212" spans="3:6" x14ac:dyDescent="0.25">
      <c r="E212" s="39"/>
      <c r="F212" s="39"/>
    </row>
    <row r="213" spans="3:6" x14ac:dyDescent="0.25">
      <c r="E213" s="39"/>
      <c r="F213" s="39"/>
    </row>
    <row r="214" spans="3:6" x14ac:dyDescent="0.25">
      <c r="E214" s="39"/>
      <c r="F214" s="39"/>
    </row>
  </sheetData>
  <pageMargins left="0.70000000000000007" right="0.70000000000000007" top="0.75" bottom="0.75" header="0.30000000000000004" footer="0.30000000000000004"/>
  <pageSetup paperSize="8" scale="7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2"/>
  <sheetViews>
    <sheetView workbookViewId="0">
      <selection activeCell="Q20" sqref="Q20"/>
    </sheetView>
  </sheetViews>
  <sheetFormatPr defaultRowHeight="15" x14ac:dyDescent="0.25"/>
  <cols>
    <col min="1" max="1" width="9.85546875" bestFit="1" customWidth="1"/>
    <col min="2" max="2" width="16.85546875" bestFit="1" customWidth="1"/>
    <col min="3" max="3" width="9.140625" bestFit="1" customWidth="1"/>
    <col min="4" max="4" width="25.140625" bestFit="1" customWidth="1"/>
    <col min="5" max="5" width="10.28515625" bestFit="1" customWidth="1"/>
    <col min="6" max="6" width="9.140625" customWidth="1"/>
    <col min="7" max="7" width="8.28515625" bestFit="1" customWidth="1"/>
    <col min="8" max="8" width="11.28515625" bestFit="1" customWidth="1"/>
    <col min="9" max="9" width="36.7109375" customWidth="1"/>
    <col min="10" max="10" width="9.140625" customWidth="1"/>
    <col min="11" max="11" width="13.140625" bestFit="1" customWidth="1"/>
    <col min="12" max="12" width="9.140625" customWidth="1"/>
    <col min="13" max="13" width="15.42578125" bestFit="1" customWidth="1"/>
    <col min="14" max="14" width="9.140625" customWidth="1"/>
    <col min="15" max="15" width="12.28515625" bestFit="1" customWidth="1"/>
    <col min="16" max="16" width="9.140625" customWidth="1"/>
    <col min="17" max="17" width="15.5703125" bestFit="1" customWidth="1"/>
    <col min="18" max="18" width="9.140625" customWidth="1"/>
  </cols>
  <sheetData>
    <row r="1" spans="1:17" ht="15.75" thickBot="1" x14ac:dyDescent="0.3"/>
    <row r="2" spans="1:17" ht="16.5" thickTop="1" thickBot="1" x14ac:dyDescent="0.3">
      <c r="B2" s="12" t="s">
        <v>11</v>
      </c>
      <c r="C2" s="13" t="s">
        <v>12</v>
      </c>
      <c r="D2" s="14" t="s">
        <v>13</v>
      </c>
      <c r="E2" s="15" t="s">
        <v>12</v>
      </c>
      <c r="G2" s="50" t="s">
        <v>14</v>
      </c>
      <c r="H2" s="51" t="s">
        <v>15</v>
      </c>
      <c r="I2" s="52" t="s">
        <v>16</v>
      </c>
      <c r="K2" s="19" t="s">
        <v>17</v>
      </c>
      <c r="M2" s="19" t="s">
        <v>251</v>
      </c>
      <c r="O2" s="19" t="s">
        <v>252</v>
      </c>
      <c r="Q2" s="19" t="s">
        <v>2</v>
      </c>
    </row>
    <row r="3" spans="1:17" x14ac:dyDescent="0.25">
      <c r="A3" s="2" t="s">
        <v>3</v>
      </c>
      <c r="B3" s="3">
        <v>3150</v>
      </c>
      <c r="C3" s="200">
        <v>3.01</v>
      </c>
      <c r="D3" s="21">
        <v>3150</v>
      </c>
      <c r="E3" s="22">
        <v>3.83</v>
      </c>
      <c r="G3" s="53" t="s">
        <v>118</v>
      </c>
      <c r="H3" s="54" t="s">
        <v>294</v>
      </c>
      <c r="I3" t="s">
        <v>282</v>
      </c>
      <c r="K3" s="3">
        <v>500</v>
      </c>
      <c r="M3">
        <v>402</v>
      </c>
      <c r="O3" s="3">
        <f>SUM(M3*$C$24)</f>
        <v>3699.7899813010526</v>
      </c>
      <c r="Q3" s="3">
        <f>SUM(K3+O3)</f>
        <v>4199.7899813010526</v>
      </c>
    </row>
    <row r="4" spans="1:17" x14ac:dyDescent="0.25">
      <c r="A4" s="4" t="s">
        <v>4</v>
      </c>
      <c r="B4" s="3">
        <v>5000</v>
      </c>
      <c r="C4" s="200">
        <v>4.78</v>
      </c>
      <c r="D4" s="21">
        <v>5000</v>
      </c>
      <c r="E4" s="22">
        <v>6.08</v>
      </c>
      <c r="G4" s="55" t="s">
        <v>119</v>
      </c>
      <c r="H4" s="31" t="s">
        <v>294</v>
      </c>
      <c r="I4" s="179" t="s">
        <v>283</v>
      </c>
      <c r="K4" s="3">
        <v>500</v>
      </c>
      <c r="M4">
        <v>207.66</v>
      </c>
      <c r="O4" s="3">
        <f>SUM(M4*$C$24)</f>
        <v>1911.1900186989467</v>
      </c>
      <c r="Q4" s="3">
        <f t="shared" ref="Q4:Q18" si="0">SUM(K4+O4)</f>
        <v>2411.1900186989469</v>
      </c>
    </row>
    <row r="5" spans="1:17" x14ac:dyDescent="0.25">
      <c r="A5" s="5" t="s">
        <v>5</v>
      </c>
      <c r="B5" s="3">
        <v>22200</v>
      </c>
      <c r="C5" s="200">
        <v>21.2</v>
      </c>
      <c r="D5" s="21">
        <v>22200</v>
      </c>
      <c r="E5" s="22">
        <v>27.01</v>
      </c>
      <c r="G5" s="196"/>
      <c r="H5" s="72"/>
      <c r="I5" s="39"/>
      <c r="K5" s="3"/>
      <c r="O5" s="3"/>
      <c r="Q5" s="3"/>
    </row>
    <row r="6" spans="1:17" x14ac:dyDescent="0.25">
      <c r="A6" s="6" t="s">
        <v>6</v>
      </c>
      <c r="B6" s="3">
        <v>38000</v>
      </c>
      <c r="C6" s="200">
        <v>36.29</v>
      </c>
      <c r="D6" s="21">
        <v>38000</v>
      </c>
      <c r="E6" s="22">
        <v>46.23</v>
      </c>
      <c r="G6" s="56" t="s">
        <v>119</v>
      </c>
      <c r="H6" s="28" t="s">
        <v>293</v>
      </c>
      <c r="I6" t="s">
        <v>122</v>
      </c>
      <c r="K6" s="3">
        <v>500</v>
      </c>
      <c r="M6">
        <v>41875</v>
      </c>
      <c r="O6" s="3">
        <f>SUM(M6*$C$28)</f>
        <v>2257.5398440877643</v>
      </c>
      <c r="Q6" s="3">
        <f t="shared" si="0"/>
        <v>2757.5398440877643</v>
      </c>
    </row>
    <row r="7" spans="1:17" ht="15.75" thickBot="1" x14ac:dyDescent="0.3">
      <c r="A7" s="7" t="s">
        <v>7</v>
      </c>
      <c r="B7" s="3">
        <v>13850</v>
      </c>
      <c r="C7" s="200">
        <v>13.23</v>
      </c>
      <c r="D7" s="33">
        <v>13850</v>
      </c>
      <c r="E7" s="34">
        <v>16.850000000000001</v>
      </c>
      <c r="G7" s="55" t="s">
        <v>119</v>
      </c>
      <c r="H7" s="31" t="s">
        <v>293</v>
      </c>
      <c r="I7" s="179" t="s">
        <v>284</v>
      </c>
      <c r="K7" s="3">
        <v>500</v>
      </c>
      <c r="M7">
        <v>22757.33</v>
      </c>
      <c r="O7" s="3">
        <f t="shared" ref="O7:O11" si="1">SUM(M7*$C$28)</f>
        <v>1226.8795037624789</v>
      </c>
      <c r="Q7" s="3">
        <f t="shared" si="0"/>
        <v>1726.8795037624789</v>
      </c>
    </row>
    <row r="8" spans="1:17" ht="15.75" thickBot="1" x14ac:dyDescent="0.3">
      <c r="A8" s="35" t="s">
        <v>8</v>
      </c>
      <c r="B8" s="3">
        <v>22500</v>
      </c>
      <c r="C8" s="200">
        <v>21.49</v>
      </c>
      <c r="D8" s="3"/>
      <c r="G8" s="56" t="s">
        <v>118</v>
      </c>
      <c r="H8" s="28" t="s">
        <v>293</v>
      </c>
      <c r="I8" t="s">
        <v>124</v>
      </c>
      <c r="K8" s="3">
        <v>500</v>
      </c>
      <c r="M8">
        <v>47189</v>
      </c>
      <c r="O8" s="3">
        <f t="shared" si="1"/>
        <v>2544.0250197649552</v>
      </c>
      <c r="Q8" s="3">
        <f t="shared" si="0"/>
        <v>3044.0250197649552</v>
      </c>
    </row>
    <row r="9" spans="1:17" ht="15.75" thickBot="1" x14ac:dyDescent="0.3">
      <c r="G9" s="55" t="s">
        <v>118</v>
      </c>
      <c r="H9" s="31" t="s">
        <v>293</v>
      </c>
      <c r="I9" s="179" t="s">
        <v>120</v>
      </c>
      <c r="K9" s="3">
        <v>500</v>
      </c>
      <c r="M9">
        <v>20708.66</v>
      </c>
      <c r="O9" s="3">
        <f t="shared" si="1"/>
        <v>1116.4328374368124</v>
      </c>
      <c r="Q9" s="3">
        <f t="shared" si="0"/>
        <v>1616.4328374368124</v>
      </c>
    </row>
    <row r="10" spans="1:17" ht="15.75" thickBot="1" x14ac:dyDescent="0.3">
      <c r="A10" s="36" t="s">
        <v>27</v>
      </c>
      <c r="B10" s="11">
        <v>104700</v>
      </c>
      <c r="C10" s="37">
        <v>100</v>
      </c>
      <c r="D10" s="11">
        <v>82200</v>
      </c>
      <c r="E10" s="37">
        <v>100</v>
      </c>
      <c r="G10" s="56" t="s">
        <v>119</v>
      </c>
      <c r="H10" s="28" t="s">
        <v>293</v>
      </c>
      <c r="I10" t="s">
        <v>121</v>
      </c>
      <c r="K10" s="3">
        <v>500</v>
      </c>
      <c r="M10">
        <v>31251</v>
      </c>
      <c r="O10" s="3">
        <f t="shared" si="1"/>
        <v>1684.7851383304292</v>
      </c>
      <c r="Q10" s="3">
        <f t="shared" si="0"/>
        <v>2184.7851383304292</v>
      </c>
    </row>
    <row r="11" spans="1:17" x14ac:dyDescent="0.25">
      <c r="A11" s="191"/>
      <c r="B11" s="192"/>
      <c r="C11" s="193"/>
      <c r="D11" s="192"/>
      <c r="E11" s="193"/>
      <c r="G11" s="55" t="s">
        <v>119</v>
      </c>
      <c r="H11" s="31" t="s">
        <v>293</v>
      </c>
      <c r="I11" s="179" t="s">
        <v>285</v>
      </c>
      <c r="K11" s="3">
        <v>500</v>
      </c>
      <c r="M11">
        <v>50588.33</v>
      </c>
      <c r="O11" s="3">
        <f t="shared" si="1"/>
        <v>2727.287656617561</v>
      </c>
      <c r="Q11" s="3">
        <f t="shared" si="0"/>
        <v>3227.287656617561</v>
      </c>
    </row>
    <row r="12" spans="1:17" x14ac:dyDescent="0.25">
      <c r="G12" s="196"/>
      <c r="H12" s="72"/>
      <c r="I12" s="39"/>
      <c r="K12" s="3"/>
      <c r="O12" s="3"/>
      <c r="Q12" s="3"/>
    </row>
    <row r="13" spans="1:17" x14ac:dyDescent="0.25">
      <c r="G13" s="56" t="s">
        <v>119</v>
      </c>
      <c r="H13" s="28" t="s">
        <v>295</v>
      </c>
      <c r="I13" t="s">
        <v>286</v>
      </c>
      <c r="K13" s="3">
        <v>500</v>
      </c>
      <c r="M13">
        <v>35913.33</v>
      </c>
      <c r="O13" s="3">
        <f>SUM(M13*$C$32)</f>
        <v>1737.3841122023277</v>
      </c>
      <c r="Q13" s="3">
        <f t="shared" si="0"/>
        <v>2237.3841122023277</v>
      </c>
    </row>
    <row r="14" spans="1:17" ht="15.75" thickBot="1" x14ac:dyDescent="0.3">
      <c r="G14" s="55" t="s">
        <v>119</v>
      </c>
      <c r="H14" s="31" t="s">
        <v>295</v>
      </c>
      <c r="I14" s="179" t="s">
        <v>287</v>
      </c>
      <c r="K14" s="3">
        <v>500</v>
      </c>
      <c r="M14">
        <v>26372.33</v>
      </c>
      <c r="O14" s="3">
        <f t="shared" ref="O14:O16" si="2">SUM(M14*$C$32)</f>
        <v>1275.8178410010105</v>
      </c>
      <c r="Q14" s="3">
        <f t="shared" si="0"/>
        <v>1775.8178410010105</v>
      </c>
    </row>
    <row r="15" spans="1:17" ht="15.75" thickBot="1" x14ac:dyDescent="0.3">
      <c r="A15" s="57" t="s">
        <v>7</v>
      </c>
      <c r="B15" s="41" t="s">
        <v>123</v>
      </c>
      <c r="C15" s="42">
        <v>6900</v>
      </c>
      <c r="D15" s="42">
        <f>SUM(D20/100*E15)</f>
        <v>11556.947003610107</v>
      </c>
      <c r="E15" s="42">
        <v>49.819494584837543</v>
      </c>
      <c r="G15" s="56" t="s">
        <v>118</v>
      </c>
      <c r="H15" s="28" t="s">
        <v>295</v>
      </c>
      <c r="I15" t="s">
        <v>288</v>
      </c>
      <c r="K15" s="3">
        <v>500</v>
      </c>
      <c r="M15">
        <v>35361</v>
      </c>
      <c r="O15" s="3">
        <f t="shared" si="2"/>
        <v>1710.6639677130056</v>
      </c>
      <c r="Q15" s="3">
        <f t="shared" si="0"/>
        <v>2210.6639677130056</v>
      </c>
    </row>
    <row r="16" spans="1:17" x14ac:dyDescent="0.25">
      <c r="B16" s="28" t="s">
        <v>125</v>
      </c>
      <c r="C16" s="42">
        <v>3350</v>
      </c>
      <c r="D16" s="42">
        <f>SUM(D20/100*E16)</f>
        <v>5610.981516245487</v>
      </c>
      <c r="E16" s="42">
        <v>24.187725631768952</v>
      </c>
      <c r="G16" s="55" t="s">
        <v>118</v>
      </c>
      <c r="H16" s="31" t="s">
        <v>295</v>
      </c>
      <c r="I16" s="179" t="s">
        <v>126</v>
      </c>
      <c r="K16" s="3">
        <v>500</v>
      </c>
      <c r="M16">
        <v>26993</v>
      </c>
      <c r="O16" s="3">
        <f t="shared" si="2"/>
        <v>1305.844079083656</v>
      </c>
      <c r="Q16" s="3">
        <f t="shared" si="0"/>
        <v>1805.844079083656</v>
      </c>
    </row>
    <row r="17" spans="1:17" x14ac:dyDescent="0.25">
      <c r="B17" s="28" t="s">
        <v>127</v>
      </c>
      <c r="C17" s="42">
        <v>3600</v>
      </c>
      <c r="D17" s="42">
        <f>SUM(D20/100*E17)</f>
        <v>6029.7114801444031</v>
      </c>
      <c r="E17" s="42">
        <v>25.992779783393498</v>
      </c>
      <c r="G17" s="194"/>
      <c r="H17" s="195"/>
      <c r="I17" s="39"/>
      <c r="K17" s="3"/>
      <c r="O17" s="3"/>
      <c r="Q17" s="3"/>
    </row>
    <row r="18" spans="1:17" ht="15.75" thickBot="1" x14ac:dyDescent="0.3">
      <c r="G18" s="58" t="s">
        <v>118</v>
      </c>
      <c r="H18" s="59"/>
      <c r="I18" s="60" t="s">
        <v>128</v>
      </c>
      <c r="K18" s="3">
        <v>500</v>
      </c>
      <c r="M18" s="3">
        <v>0</v>
      </c>
      <c r="O18" s="3">
        <v>0</v>
      </c>
      <c r="Q18" s="3">
        <f t="shared" si="0"/>
        <v>500</v>
      </c>
    </row>
    <row r="19" spans="1:17" ht="16.5" thickTop="1" thickBot="1" x14ac:dyDescent="0.3">
      <c r="K19" s="3"/>
      <c r="M19" s="197"/>
      <c r="O19" s="3"/>
      <c r="Q19" s="3"/>
    </row>
    <row r="20" spans="1:17" ht="15.75" thickBot="1" x14ac:dyDescent="0.3">
      <c r="B20" s="45" t="s">
        <v>10</v>
      </c>
      <c r="C20" s="11">
        <v>13850</v>
      </c>
      <c r="D20" s="11">
        <v>23197.64</v>
      </c>
      <c r="I20" s="10" t="s">
        <v>2</v>
      </c>
      <c r="K20" s="11">
        <v>6500</v>
      </c>
      <c r="M20" s="190"/>
      <c r="O20" s="11">
        <f>SUM(O3:O18)</f>
        <v>23197.640000000003</v>
      </c>
      <c r="Q20" s="11">
        <f>SUM(K20+O20)</f>
        <v>29697.640000000003</v>
      </c>
    </row>
    <row r="21" spans="1:17" x14ac:dyDescent="0.25">
      <c r="D21" s="201">
        <f>SUM(D15:D17)</f>
        <v>23197.64</v>
      </c>
      <c r="M21" s="189"/>
      <c r="Q21" s="3"/>
    </row>
    <row r="22" spans="1:17" x14ac:dyDescent="0.25">
      <c r="A22" s="179" t="s">
        <v>294</v>
      </c>
      <c r="B22" s="179"/>
      <c r="C22" s="179">
        <v>5610.98</v>
      </c>
      <c r="M22" s="3"/>
      <c r="O22" s="3"/>
    </row>
    <row r="23" spans="1:17" x14ac:dyDescent="0.25">
      <c r="A23" t="s">
        <v>244</v>
      </c>
      <c r="C23" s="145">
        <f>SUM(M3+M4)</f>
        <v>609.66</v>
      </c>
      <c r="M23" s="3"/>
    </row>
    <row r="24" spans="1:17" x14ac:dyDescent="0.25">
      <c r="A24" t="s">
        <v>250</v>
      </c>
      <c r="C24">
        <f>SUM(C22/C23)</f>
        <v>9.203457664927992</v>
      </c>
      <c r="M24" s="3"/>
    </row>
    <row r="26" spans="1:17" x14ac:dyDescent="0.25">
      <c r="A26" s="179" t="s">
        <v>296</v>
      </c>
      <c r="B26" s="179"/>
      <c r="C26" s="179">
        <v>11556.95</v>
      </c>
    </row>
    <row r="27" spans="1:17" x14ac:dyDescent="0.25">
      <c r="A27" t="s">
        <v>244</v>
      </c>
      <c r="C27" s="145">
        <f>SUM(M6:M11)</f>
        <v>214369.32</v>
      </c>
    </row>
    <row r="28" spans="1:17" x14ac:dyDescent="0.25">
      <c r="A28" t="s">
        <v>250</v>
      </c>
      <c r="C28">
        <f>SUM(C26/C27)</f>
        <v>5.3911399261797353E-2</v>
      </c>
    </row>
    <row r="30" spans="1:17" x14ac:dyDescent="0.25">
      <c r="A30" s="179" t="s">
        <v>295</v>
      </c>
      <c r="B30" s="179"/>
      <c r="C30" s="179">
        <v>6029.71</v>
      </c>
    </row>
    <row r="31" spans="1:17" x14ac:dyDescent="0.25">
      <c r="A31" t="s">
        <v>244</v>
      </c>
      <c r="C31" s="145">
        <f>SUM(M13:M16)</f>
        <v>124639.66</v>
      </c>
    </row>
    <row r="32" spans="1:17" x14ac:dyDescent="0.25">
      <c r="A32" t="s">
        <v>250</v>
      </c>
      <c r="C32">
        <f>SUM(C30/C31)</f>
        <v>4.8377137742513093E-2</v>
      </c>
    </row>
  </sheetData>
  <pageMargins left="0.70000000000000007" right="0.70000000000000007" top="0.75" bottom="0.75" header="0.30000000000000004" footer="0.30000000000000004"/>
  <pageSetup paperSize="8" scale="8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"/>
  <sheetViews>
    <sheetView workbookViewId="0">
      <selection activeCell="I16" sqref="I16"/>
    </sheetView>
  </sheetViews>
  <sheetFormatPr defaultRowHeight="15" x14ac:dyDescent="0.25"/>
  <cols>
    <col min="1" max="1" width="9.85546875" bestFit="1" customWidth="1"/>
    <col min="2" max="2" width="13.5703125" bestFit="1" customWidth="1"/>
    <col min="3" max="3" width="6.140625" bestFit="1" customWidth="1"/>
    <col min="4" max="4" width="25.140625" bestFit="1" customWidth="1"/>
    <col min="5" max="5" width="6.140625" bestFit="1" customWidth="1"/>
    <col min="6" max="6" width="9.140625" customWidth="1"/>
    <col min="7" max="7" width="8.28515625" bestFit="1" customWidth="1"/>
    <col min="8" max="8" width="11.28515625" bestFit="1" customWidth="1"/>
    <col min="9" max="9" width="24.5703125" bestFit="1" customWidth="1"/>
    <col min="10" max="10" width="9.140625" customWidth="1"/>
    <col min="11" max="11" width="13.140625" bestFit="1" customWidth="1"/>
    <col min="12" max="12" width="9.140625" customWidth="1"/>
  </cols>
  <sheetData>
    <row r="1" spans="1:11" ht="15.75" thickBot="1" x14ac:dyDescent="0.3"/>
    <row r="2" spans="1:11" ht="16.5" thickTop="1" thickBot="1" x14ac:dyDescent="0.3">
      <c r="B2" s="12" t="s">
        <v>11</v>
      </c>
      <c r="C2" s="13" t="s">
        <v>12</v>
      </c>
      <c r="D2" s="14" t="s">
        <v>13</v>
      </c>
      <c r="E2" s="15" t="s">
        <v>12</v>
      </c>
      <c r="G2" s="16" t="s">
        <v>14</v>
      </c>
      <c r="H2" s="17" t="s">
        <v>15</v>
      </c>
      <c r="I2" s="18" t="s">
        <v>16</v>
      </c>
      <c r="K2" s="19" t="s">
        <v>17</v>
      </c>
    </row>
    <row r="3" spans="1:11" x14ac:dyDescent="0.25">
      <c r="A3" s="2" t="s">
        <v>3</v>
      </c>
      <c r="B3" s="3">
        <v>3150</v>
      </c>
      <c r="C3" s="200">
        <v>3.01</v>
      </c>
      <c r="D3" s="21">
        <v>3150</v>
      </c>
      <c r="E3" s="22">
        <v>3.83</v>
      </c>
      <c r="G3" s="30" t="s">
        <v>129</v>
      </c>
      <c r="H3" s="31"/>
      <c r="I3" s="32" t="s">
        <v>130</v>
      </c>
      <c r="K3" s="3">
        <v>500</v>
      </c>
    </row>
    <row r="4" spans="1:11" ht="15.75" thickBot="1" x14ac:dyDescent="0.3">
      <c r="A4" s="4" t="s">
        <v>4</v>
      </c>
      <c r="B4" s="3">
        <v>5000</v>
      </c>
      <c r="C4" s="200">
        <v>4.78</v>
      </c>
      <c r="D4" s="21">
        <v>5000</v>
      </c>
      <c r="E4" s="22">
        <v>6.08</v>
      </c>
      <c r="G4" s="61" t="s">
        <v>129</v>
      </c>
      <c r="H4" s="62"/>
      <c r="I4" s="63" t="s">
        <v>131</v>
      </c>
      <c r="K4" s="3">
        <v>500</v>
      </c>
    </row>
    <row r="5" spans="1:11" ht="16.5" thickTop="1" thickBot="1" x14ac:dyDescent="0.3">
      <c r="A5" s="5" t="s">
        <v>5</v>
      </c>
      <c r="B5" s="3">
        <v>22200</v>
      </c>
      <c r="C5" s="200">
        <v>21.2</v>
      </c>
      <c r="D5" s="21">
        <v>22200</v>
      </c>
      <c r="E5" s="22">
        <v>27.01</v>
      </c>
      <c r="K5" s="3"/>
    </row>
    <row r="6" spans="1:11" ht="15.75" thickBot="1" x14ac:dyDescent="0.3">
      <c r="A6" s="6" t="s">
        <v>6</v>
      </c>
      <c r="B6" s="3">
        <v>38000</v>
      </c>
      <c r="C6" s="200">
        <v>36.29</v>
      </c>
      <c r="D6" s="21">
        <v>38000</v>
      </c>
      <c r="E6" s="22">
        <v>46.23</v>
      </c>
      <c r="I6" s="10" t="s">
        <v>10</v>
      </c>
      <c r="K6" s="11">
        <v>1000</v>
      </c>
    </row>
    <row r="7" spans="1:11" ht="15.75" thickBot="1" x14ac:dyDescent="0.3">
      <c r="A7" s="7" t="s">
        <v>7</v>
      </c>
      <c r="B7" s="3">
        <v>13850</v>
      </c>
      <c r="C7" s="200">
        <v>13.23</v>
      </c>
      <c r="D7" s="33">
        <v>13850</v>
      </c>
      <c r="E7" s="34">
        <v>16.850000000000001</v>
      </c>
    </row>
    <row r="8" spans="1:11" ht="15.75" thickBot="1" x14ac:dyDescent="0.3">
      <c r="A8" s="35" t="s">
        <v>8</v>
      </c>
      <c r="B8" s="3">
        <v>22500</v>
      </c>
      <c r="C8" s="200">
        <v>21.49</v>
      </c>
      <c r="D8" s="3"/>
    </row>
    <row r="9" spans="1:11" ht="15.75" thickBot="1" x14ac:dyDescent="0.3"/>
    <row r="10" spans="1:11" ht="15.75" thickBot="1" x14ac:dyDescent="0.3">
      <c r="A10" s="36" t="s">
        <v>27</v>
      </c>
      <c r="B10" s="11">
        <v>104700</v>
      </c>
      <c r="C10" s="37">
        <v>100</v>
      </c>
      <c r="D10" s="11">
        <v>82200</v>
      </c>
      <c r="E10" s="37">
        <v>100</v>
      </c>
    </row>
  </sheetData>
  <pageMargins left="0.70000000000000007" right="0.70000000000000007" top="0.75" bottom="0.75" header="0.30000000000000004" footer="0.30000000000000004"/>
  <pageSetup paperSize="8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"/>
  <sheetViews>
    <sheetView topLeftCell="B1" workbookViewId="0">
      <selection activeCell="C3" sqref="C3:C8"/>
    </sheetView>
  </sheetViews>
  <sheetFormatPr defaultRowHeight="15" x14ac:dyDescent="0.25"/>
  <cols>
    <col min="1" max="1" width="9.85546875" bestFit="1" customWidth="1"/>
    <col min="2" max="2" width="13.5703125" bestFit="1" customWidth="1"/>
    <col min="3" max="3" width="6.140625" bestFit="1" customWidth="1"/>
    <col min="4" max="4" width="25.140625" bestFit="1" customWidth="1"/>
    <col min="5" max="5" width="6.140625" bestFit="1" customWidth="1"/>
    <col min="6" max="6" width="9.140625" customWidth="1"/>
    <col min="7" max="7" width="24.85546875" bestFit="1" customWidth="1"/>
    <col min="8" max="8" width="11.28515625" bestFit="1" customWidth="1"/>
    <col min="9" max="9" width="22.140625" bestFit="1" customWidth="1"/>
    <col min="10" max="10" width="9.140625" customWidth="1"/>
    <col min="11" max="11" width="13.140625" bestFit="1" customWidth="1"/>
    <col min="12" max="12" width="9.140625" customWidth="1"/>
  </cols>
  <sheetData>
    <row r="1" spans="1:11" ht="15.75" thickBot="1" x14ac:dyDescent="0.3"/>
    <row r="2" spans="1:11" ht="16.5" thickTop="1" thickBot="1" x14ac:dyDescent="0.3">
      <c r="B2" s="12" t="s">
        <v>11</v>
      </c>
      <c r="C2" s="13" t="s">
        <v>12</v>
      </c>
      <c r="D2" s="14" t="s">
        <v>13</v>
      </c>
      <c r="E2" s="15" t="s">
        <v>12</v>
      </c>
      <c r="G2" s="64" t="s">
        <v>14</v>
      </c>
      <c r="H2" s="65" t="s">
        <v>15</v>
      </c>
      <c r="I2" s="66" t="s">
        <v>16</v>
      </c>
      <c r="K2" s="19" t="s">
        <v>17</v>
      </c>
    </row>
    <row r="3" spans="1:11" x14ac:dyDescent="0.25">
      <c r="A3" s="2" t="s">
        <v>3</v>
      </c>
      <c r="B3" s="3">
        <v>3150</v>
      </c>
      <c r="C3" s="200">
        <v>3.01</v>
      </c>
      <c r="D3" s="21">
        <v>3150</v>
      </c>
      <c r="E3" s="22">
        <v>3.83</v>
      </c>
      <c r="G3" s="67" t="s">
        <v>132</v>
      </c>
      <c r="H3" s="31"/>
      <c r="I3" s="68" t="s">
        <v>133</v>
      </c>
      <c r="K3" s="3">
        <v>500</v>
      </c>
    </row>
    <row r="4" spans="1:11" x14ac:dyDescent="0.25">
      <c r="A4" s="4" t="s">
        <v>4</v>
      </c>
      <c r="B4" s="3">
        <v>5000</v>
      </c>
      <c r="C4" s="200">
        <v>4.78</v>
      </c>
      <c r="D4" s="21">
        <v>5000</v>
      </c>
      <c r="E4" s="22">
        <v>6.08</v>
      </c>
      <c r="G4" s="69" t="s">
        <v>132</v>
      </c>
      <c r="H4" s="28"/>
      <c r="I4" s="70" t="s">
        <v>134</v>
      </c>
      <c r="K4" s="3">
        <v>500</v>
      </c>
    </row>
    <row r="5" spans="1:11" x14ac:dyDescent="0.25">
      <c r="A5" s="5" t="s">
        <v>5</v>
      </c>
      <c r="B5" s="3">
        <v>22200</v>
      </c>
      <c r="C5" s="200">
        <v>21.2</v>
      </c>
      <c r="D5" s="21">
        <v>22200</v>
      </c>
      <c r="E5" s="22">
        <v>27.01</v>
      </c>
      <c r="G5" s="67" t="s">
        <v>135</v>
      </c>
      <c r="H5" s="31"/>
      <c r="I5" s="68" t="s">
        <v>136</v>
      </c>
      <c r="K5" s="3">
        <v>500</v>
      </c>
    </row>
    <row r="6" spans="1:11" x14ac:dyDescent="0.25">
      <c r="A6" s="6" t="s">
        <v>6</v>
      </c>
      <c r="B6" s="3">
        <v>38000</v>
      </c>
      <c r="C6" s="200">
        <v>36.29</v>
      </c>
      <c r="D6" s="21">
        <v>38000</v>
      </c>
      <c r="E6" s="22">
        <v>46.23</v>
      </c>
      <c r="G6" s="71" t="s">
        <v>132</v>
      </c>
      <c r="H6" s="72"/>
      <c r="I6" s="198" t="s">
        <v>137</v>
      </c>
      <c r="K6" s="3">
        <v>500</v>
      </c>
    </row>
    <row r="7" spans="1:11" ht="15.75" thickBot="1" x14ac:dyDescent="0.3">
      <c r="A7" s="7" t="s">
        <v>7</v>
      </c>
      <c r="B7" s="3">
        <v>13850</v>
      </c>
      <c r="C7" s="200">
        <v>13.23</v>
      </c>
      <c r="D7" s="33">
        <v>13850</v>
      </c>
      <c r="E7" s="34">
        <v>16.850000000000001</v>
      </c>
      <c r="G7" s="67" t="s">
        <v>132</v>
      </c>
      <c r="H7" s="31"/>
      <c r="I7" s="199" t="s">
        <v>138</v>
      </c>
      <c r="K7" s="3">
        <v>500</v>
      </c>
    </row>
    <row r="8" spans="1:11" ht="15.75" thickBot="1" x14ac:dyDescent="0.3">
      <c r="A8" s="35" t="s">
        <v>8</v>
      </c>
      <c r="B8" s="3">
        <v>22500</v>
      </c>
      <c r="C8" s="200">
        <v>21.49</v>
      </c>
      <c r="D8" s="3"/>
      <c r="G8" s="71" t="s">
        <v>132</v>
      </c>
      <c r="H8" s="72"/>
      <c r="I8" s="198" t="s">
        <v>139</v>
      </c>
      <c r="K8" s="3">
        <v>500</v>
      </c>
    </row>
    <row r="9" spans="1:11" ht="15.75" thickBot="1" x14ac:dyDescent="0.3">
      <c r="G9" s="73" t="s">
        <v>132</v>
      </c>
      <c r="H9" s="74"/>
      <c r="I9" s="75" t="s">
        <v>140</v>
      </c>
      <c r="K9" s="3">
        <v>500</v>
      </c>
    </row>
    <row r="10" spans="1:11" ht="16.5" thickTop="1" thickBot="1" x14ac:dyDescent="0.3">
      <c r="A10" s="36" t="s">
        <v>27</v>
      </c>
      <c r="B10" s="11">
        <v>104700</v>
      </c>
      <c r="C10" s="37">
        <v>100</v>
      </c>
      <c r="D10" s="11">
        <v>82200</v>
      </c>
      <c r="E10" s="37">
        <v>100</v>
      </c>
      <c r="K10" s="3"/>
    </row>
    <row r="11" spans="1:11" ht="15.75" thickBot="1" x14ac:dyDescent="0.3">
      <c r="I11" s="10" t="s">
        <v>10</v>
      </c>
      <c r="K11" s="11">
        <v>3500</v>
      </c>
    </row>
    <row r="12" spans="1:11" ht="15.75" thickBot="1" x14ac:dyDescent="0.3"/>
    <row r="13" spans="1:11" ht="15.75" thickBot="1" x14ac:dyDescent="0.3">
      <c r="A13" s="76" t="s">
        <v>8</v>
      </c>
      <c r="B13" t="s">
        <v>141</v>
      </c>
    </row>
  </sheetData>
  <pageMargins left="0.70000000000000007" right="0.70000000000000007" top="0.75" bottom="0.75" header="0.30000000000000004" footer="0.30000000000000004"/>
  <pageSetup paperSize="8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8"/>
  <sheetViews>
    <sheetView workbookViewId="0">
      <selection activeCell="C18" sqref="C18"/>
    </sheetView>
  </sheetViews>
  <sheetFormatPr defaultRowHeight="15" x14ac:dyDescent="0.25"/>
  <cols>
    <col min="1" max="1" width="9.85546875" bestFit="1" customWidth="1"/>
    <col min="2" max="2" width="13.5703125" bestFit="1" customWidth="1"/>
    <col min="3" max="3" width="6.5703125" bestFit="1" customWidth="1"/>
    <col min="4" max="4" width="25.140625" bestFit="1" customWidth="1"/>
    <col min="5" max="5" width="6.140625" bestFit="1" customWidth="1"/>
    <col min="6" max="6" width="9.140625" customWidth="1"/>
    <col min="7" max="7" width="8.28515625" bestFit="1" customWidth="1"/>
    <col min="8" max="8" width="11.28515625" bestFit="1" customWidth="1"/>
    <col min="9" max="9" width="20.28515625" bestFit="1" customWidth="1"/>
    <col min="10" max="10" width="9.140625" customWidth="1"/>
    <col min="11" max="11" width="13.7109375" bestFit="1" customWidth="1"/>
    <col min="12" max="12" width="9.140625" customWidth="1"/>
    <col min="13" max="13" width="14.42578125" bestFit="1" customWidth="1"/>
    <col min="14" max="14" width="9.140625" customWidth="1"/>
    <col min="15" max="15" width="12.140625" customWidth="1"/>
    <col min="16" max="16" width="9.140625" customWidth="1"/>
    <col min="17" max="17" width="16" bestFit="1" customWidth="1"/>
    <col min="18" max="18" width="9.140625" customWidth="1"/>
  </cols>
  <sheetData>
    <row r="1" spans="1:17" ht="15.75" thickBot="1" x14ac:dyDescent="0.3"/>
    <row r="2" spans="1:17" ht="16.5" thickTop="1" thickBot="1" x14ac:dyDescent="0.3">
      <c r="B2" s="12" t="s">
        <v>11</v>
      </c>
      <c r="C2" s="13" t="s">
        <v>12</v>
      </c>
      <c r="D2" s="14" t="s">
        <v>13</v>
      </c>
      <c r="E2" s="15" t="s">
        <v>12</v>
      </c>
      <c r="G2" s="77" t="s">
        <v>14</v>
      </c>
      <c r="H2" s="78" t="s">
        <v>15</v>
      </c>
      <c r="I2" s="79" t="s">
        <v>16</v>
      </c>
      <c r="K2" s="19" t="s">
        <v>0</v>
      </c>
      <c r="M2" s="19" t="s">
        <v>251</v>
      </c>
      <c r="O2" s="19" t="s">
        <v>252</v>
      </c>
      <c r="Q2" s="19" t="s">
        <v>10</v>
      </c>
    </row>
    <row r="3" spans="1:17" x14ac:dyDescent="0.25">
      <c r="A3" s="2" t="s">
        <v>3</v>
      </c>
      <c r="B3" s="3">
        <v>3150</v>
      </c>
      <c r="C3" s="200">
        <v>3.01</v>
      </c>
      <c r="D3" s="21">
        <v>3150</v>
      </c>
      <c r="E3" s="22">
        <v>3.83</v>
      </c>
      <c r="G3" s="80" t="s">
        <v>142</v>
      </c>
      <c r="H3" s="28"/>
      <c r="I3" s="81" t="s">
        <v>143</v>
      </c>
      <c r="K3" s="3">
        <v>500</v>
      </c>
      <c r="M3" s="3">
        <v>635</v>
      </c>
      <c r="O3" s="3">
        <f>SUM(M3*$C$18)</f>
        <v>488.91559949184466</v>
      </c>
      <c r="Q3" s="3">
        <f>SUM(K3+O3)</f>
        <v>988.91559949184466</v>
      </c>
    </row>
    <row r="4" spans="1:17" x14ac:dyDescent="0.25">
      <c r="A4" s="4" t="s">
        <v>4</v>
      </c>
      <c r="B4" s="3">
        <v>5000</v>
      </c>
      <c r="C4" s="200">
        <v>4.78</v>
      </c>
      <c r="D4" s="21">
        <v>5000</v>
      </c>
      <c r="E4" s="22">
        <v>6.08</v>
      </c>
      <c r="G4" s="82" t="s">
        <v>144</v>
      </c>
      <c r="H4" s="31"/>
      <c r="I4" s="83" t="s">
        <v>145</v>
      </c>
      <c r="K4" s="3">
        <v>500</v>
      </c>
      <c r="M4" s="3">
        <v>1368.3333333333333</v>
      </c>
      <c r="O4" s="3">
        <f t="shared" ref="O4:O10" si="0">SUM(M4*$C$18)</f>
        <v>1053.5425385375445</v>
      </c>
      <c r="Q4" s="3">
        <f t="shared" ref="Q4:Q10" si="1">SUM(K4+O4)</f>
        <v>1553.5425385375445</v>
      </c>
    </row>
    <row r="5" spans="1:17" x14ac:dyDescent="0.25">
      <c r="A5" s="5" t="s">
        <v>5</v>
      </c>
      <c r="B5" s="3">
        <v>22200</v>
      </c>
      <c r="C5" s="200">
        <v>21.2</v>
      </c>
      <c r="D5" s="21">
        <v>22200</v>
      </c>
      <c r="E5" s="22">
        <v>27.01</v>
      </c>
      <c r="G5" s="80" t="s">
        <v>144</v>
      </c>
      <c r="H5" s="28"/>
      <c r="I5" s="81" t="s">
        <v>146</v>
      </c>
      <c r="K5" s="3">
        <v>500</v>
      </c>
      <c r="M5" s="3">
        <v>793.33333333333337</v>
      </c>
      <c r="O5" s="3">
        <f t="shared" si="0"/>
        <v>610.82368860398446</v>
      </c>
      <c r="Q5" s="3">
        <f t="shared" si="1"/>
        <v>1110.8236886039845</v>
      </c>
    </row>
    <row r="6" spans="1:17" x14ac:dyDescent="0.25">
      <c r="A6" s="6" t="s">
        <v>6</v>
      </c>
      <c r="B6" s="3">
        <v>38000</v>
      </c>
      <c r="C6" s="200">
        <v>36.29</v>
      </c>
      <c r="D6" s="21">
        <v>38000</v>
      </c>
      <c r="E6" s="22">
        <v>46.23</v>
      </c>
      <c r="G6" s="82" t="s">
        <v>144</v>
      </c>
      <c r="H6" s="31"/>
      <c r="I6" s="83" t="s">
        <v>147</v>
      </c>
      <c r="K6" s="3">
        <v>500</v>
      </c>
      <c r="M6" s="3">
        <v>643.33333333333337</v>
      </c>
      <c r="O6" s="3">
        <f t="shared" si="0"/>
        <v>495.3318147082731</v>
      </c>
      <c r="Q6" s="3">
        <f t="shared" si="1"/>
        <v>995.3318147082731</v>
      </c>
    </row>
    <row r="7" spans="1:17" ht="15.75" thickBot="1" x14ac:dyDescent="0.3">
      <c r="A7" s="7" t="s">
        <v>7</v>
      </c>
      <c r="B7" s="3">
        <v>13850</v>
      </c>
      <c r="C7" s="200">
        <v>13.23</v>
      </c>
      <c r="D7" s="33">
        <v>13850</v>
      </c>
      <c r="E7" s="34">
        <v>16.850000000000001</v>
      </c>
      <c r="G7" s="80" t="s">
        <v>144</v>
      </c>
      <c r="H7" s="28"/>
      <c r="I7" s="81" t="s">
        <v>148</v>
      </c>
      <c r="K7" s="3">
        <v>500</v>
      </c>
      <c r="M7" s="3">
        <v>585</v>
      </c>
      <c r="O7" s="3">
        <f t="shared" si="0"/>
        <v>450.41830819327424</v>
      </c>
      <c r="Q7" s="3">
        <f t="shared" si="1"/>
        <v>950.41830819327424</v>
      </c>
    </row>
    <row r="8" spans="1:17" ht="15.75" thickBot="1" x14ac:dyDescent="0.3">
      <c r="A8" s="35" t="s">
        <v>8</v>
      </c>
      <c r="B8" s="3">
        <v>22500</v>
      </c>
      <c r="C8" s="200">
        <v>21.49</v>
      </c>
      <c r="D8" s="3"/>
      <c r="G8" s="82" t="s">
        <v>144</v>
      </c>
      <c r="H8" s="31"/>
      <c r="I8" s="83" t="s">
        <v>149</v>
      </c>
      <c r="K8" s="3">
        <v>500</v>
      </c>
      <c r="M8" s="3">
        <v>1311.6666666666667</v>
      </c>
      <c r="O8" s="3">
        <f t="shared" si="0"/>
        <v>1009.9122750658314</v>
      </c>
      <c r="Q8" s="3">
        <f t="shared" si="1"/>
        <v>1509.9122750658314</v>
      </c>
    </row>
    <row r="9" spans="1:17" ht="15.75" thickBot="1" x14ac:dyDescent="0.3">
      <c r="G9" s="80" t="s">
        <v>144</v>
      </c>
      <c r="H9" s="28"/>
      <c r="I9" s="81" t="s">
        <v>150</v>
      </c>
      <c r="K9" s="3">
        <v>500</v>
      </c>
      <c r="M9" s="3">
        <v>743.33333333333337</v>
      </c>
      <c r="O9" s="3">
        <f t="shared" si="0"/>
        <v>572.32639730541405</v>
      </c>
      <c r="Q9" s="3">
        <f t="shared" si="1"/>
        <v>1072.326397305414</v>
      </c>
    </row>
    <row r="10" spans="1:17" ht="15.75" thickBot="1" x14ac:dyDescent="0.3">
      <c r="A10" s="36" t="s">
        <v>27</v>
      </c>
      <c r="B10" s="11">
        <v>104700</v>
      </c>
      <c r="C10" s="37">
        <v>100</v>
      </c>
      <c r="D10" s="11">
        <v>82200</v>
      </c>
      <c r="E10" s="37">
        <v>100</v>
      </c>
      <c r="G10" s="84" t="s">
        <v>144</v>
      </c>
      <c r="H10" s="85"/>
      <c r="I10" s="86" t="s">
        <v>151</v>
      </c>
      <c r="K10" s="3">
        <v>500</v>
      </c>
      <c r="M10" s="3">
        <v>768.33333333333337</v>
      </c>
      <c r="O10" s="3">
        <f t="shared" si="0"/>
        <v>591.57504295469926</v>
      </c>
      <c r="Q10" s="3">
        <f t="shared" si="1"/>
        <v>1091.5750429546993</v>
      </c>
    </row>
    <row r="11" spans="1:17" ht="15.75" thickBot="1" x14ac:dyDescent="0.3">
      <c r="K11" s="3"/>
      <c r="M11" s="168">
        <f>SUM(M3:M10)</f>
        <v>6848.333333333333</v>
      </c>
      <c r="O11" s="3"/>
      <c r="Q11" s="3"/>
    </row>
    <row r="12" spans="1:17" ht="15.75" thickBot="1" x14ac:dyDescent="0.3">
      <c r="I12" s="10" t="s">
        <v>10</v>
      </c>
      <c r="K12" s="11">
        <f>SUM(K3:K10)</f>
        <v>4000</v>
      </c>
      <c r="O12" s="11">
        <f>SUM(O3:O11)</f>
        <v>5272.8456648608644</v>
      </c>
      <c r="Q12" s="11">
        <f>SUM(Q3:Q10)</f>
        <v>9272.8456648608662</v>
      </c>
    </row>
    <row r="13" spans="1:17" ht="15.75" thickBot="1" x14ac:dyDescent="0.3">
      <c r="A13" s="87" t="s">
        <v>3</v>
      </c>
      <c r="B13" s="11">
        <v>3150</v>
      </c>
      <c r="D13" s="11">
        <v>5272.82</v>
      </c>
      <c r="O13" t="s">
        <v>273</v>
      </c>
      <c r="Q13" t="s">
        <v>273</v>
      </c>
    </row>
    <row r="15" spans="1:17" x14ac:dyDescent="0.25">
      <c r="A15" t="s">
        <v>248</v>
      </c>
    </row>
    <row r="16" spans="1:17" x14ac:dyDescent="0.25">
      <c r="A16" t="s">
        <v>249</v>
      </c>
    </row>
    <row r="17" spans="1:3" x14ac:dyDescent="0.25">
      <c r="A17" t="s">
        <v>244</v>
      </c>
      <c r="C17" s="145">
        <v>6848.3</v>
      </c>
    </row>
    <row r="18" spans="1:3" x14ac:dyDescent="0.25">
      <c r="A18" t="s">
        <v>250</v>
      </c>
      <c r="C18">
        <f>SUM(D13/C17)</f>
        <v>0.76994582597140893</v>
      </c>
    </row>
  </sheetData>
  <pageMargins left="0.70000000000000007" right="0.70000000000000007" top="0.75" bottom="0.75" header="0.30000000000000004" footer="0.30000000000000004"/>
  <pageSetup paperSize="8" scale="94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4"/>
  <sheetViews>
    <sheetView topLeftCell="A28" zoomScaleNormal="100" workbookViewId="0">
      <selection activeCell="G68" sqref="G68"/>
    </sheetView>
  </sheetViews>
  <sheetFormatPr defaultRowHeight="15" x14ac:dyDescent="0.25"/>
  <cols>
    <col min="1" max="1" width="9.85546875" bestFit="1" customWidth="1"/>
    <col min="2" max="2" width="13.5703125" bestFit="1" customWidth="1"/>
    <col min="3" max="3" width="31.7109375" bestFit="1" customWidth="1"/>
    <col min="4" max="4" width="25.140625" bestFit="1" customWidth="1"/>
    <col min="5" max="5" width="6.140625" bestFit="1" customWidth="1"/>
    <col min="6" max="6" width="9.140625" customWidth="1"/>
    <col min="7" max="7" width="8.28515625" bestFit="1" customWidth="1"/>
    <col min="8" max="8" width="12.7109375" bestFit="1" customWidth="1"/>
    <col min="9" max="9" width="39.85546875" bestFit="1" customWidth="1"/>
    <col min="10" max="10" width="9.140625" customWidth="1"/>
    <col min="11" max="11" width="13.140625" bestFit="1" customWidth="1"/>
    <col min="12" max="12" width="9.140625" customWidth="1"/>
    <col min="13" max="13" width="15.42578125" bestFit="1" customWidth="1"/>
    <col min="14" max="14" width="9.140625" customWidth="1"/>
    <col min="15" max="15" width="12.28515625" bestFit="1" customWidth="1"/>
    <col min="16" max="16" width="9.140625" customWidth="1"/>
    <col min="17" max="17" width="16" bestFit="1" customWidth="1"/>
    <col min="18" max="18" width="9.140625" customWidth="1"/>
  </cols>
  <sheetData>
    <row r="1" spans="1:17" ht="15.75" thickBot="1" x14ac:dyDescent="0.3"/>
    <row r="2" spans="1:17" ht="16.5" thickTop="1" thickBot="1" x14ac:dyDescent="0.3">
      <c r="B2" s="12" t="s">
        <v>11</v>
      </c>
      <c r="C2" s="13" t="s">
        <v>12</v>
      </c>
      <c r="D2" s="14" t="s">
        <v>13</v>
      </c>
      <c r="E2" s="15" t="s">
        <v>12</v>
      </c>
      <c r="G2" s="88" t="s">
        <v>14</v>
      </c>
      <c r="H2" s="89" t="s">
        <v>15</v>
      </c>
      <c r="I2" s="90" t="s">
        <v>16</v>
      </c>
      <c r="K2" s="19" t="s">
        <v>17</v>
      </c>
      <c r="M2" s="19" t="s">
        <v>251</v>
      </c>
      <c r="O2" s="19" t="s">
        <v>252</v>
      </c>
      <c r="Q2" s="19" t="s">
        <v>10</v>
      </c>
    </row>
    <row r="3" spans="1:17" x14ac:dyDescent="0.25">
      <c r="A3" s="2" t="s">
        <v>3</v>
      </c>
      <c r="B3" s="3">
        <v>3150</v>
      </c>
      <c r="C3" s="20">
        <v>3.01</v>
      </c>
      <c r="D3" s="21">
        <v>3150</v>
      </c>
      <c r="E3" s="22">
        <v>3.83</v>
      </c>
      <c r="G3" s="134" t="s">
        <v>155</v>
      </c>
      <c r="H3" s="135" t="s">
        <v>153</v>
      </c>
      <c r="I3" s="136" t="s">
        <v>156</v>
      </c>
      <c r="J3" s="137"/>
      <c r="K3" s="138">
        <v>500</v>
      </c>
      <c r="L3" s="137"/>
      <c r="M3" s="138">
        <v>782.25</v>
      </c>
      <c r="N3" s="137"/>
      <c r="O3" s="138">
        <f>SUM(M3*$C$19)</f>
        <v>3337.2691335867116</v>
      </c>
      <c r="P3" s="137"/>
      <c r="Q3" s="138">
        <f>SUM(O3+K3)</f>
        <v>3837.2691335867116</v>
      </c>
    </row>
    <row r="4" spans="1:17" x14ac:dyDescent="0.25">
      <c r="A4" s="4" t="s">
        <v>4</v>
      </c>
      <c r="B4" s="3">
        <v>5000</v>
      </c>
      <c r="C4" s="20">
        <v>4.78</v>
      </c>
      <c r="D4" s="21">
        <v>5000</v>
      </c>
      <c r="E4" s="22">
        <v>6.08</v>
      </c>
      <c r="G4" s="93" t="s">
        <v>152</v>
      </c>
      <c r="H4" s="31" t="s">
        <v>158</v>
      </c>
      <c r="I4" s="94" t="s">
        <v>159</v>
      </c>
      <c r="K4" s="3">
        <v>500</v>
      </c>
      <c r="M4" s="3">
        <v>0</v>
      </c>
      <c r="O4" s="138">
        <f t="shared" ref="O4:O61" si="0">SUM(M4*$C$19)</f>
        <v>0</v>
      </c>
      <c r="Q4" s="138">
        <f t="shared" ref="Q4:Q60" si="1">SUM(O4+K4)</f>
        <v>500</v>
      </c>
    </row>
    <row r="5" spans="1:17" x14ac:dyDescent="0.25">
      <c r="A5" s="5" t="s">
        <v>5</v>
      </c>
      <c r="B5" s="3">
        <v>22200</v>
      </c>
      <c r="C5" s="20">
        <v>21.2</v>
      </c>
      <c r="D5" s="21">
        <v>22200</v>
      </c>
      <c r="E5" s="22">
        <v>27.01</v>
      </c>
      <c r="G5" s="91" t="s">
        <v>155</v>
      </c>
      <c r="H5" s="28" t="s">
        <v>158</v>
      </c>
      <c r="I5" s="92" t="s">
        <v>160</v>
      </c>
      <c r="K5" s="3">
        <v>500</v>
      </c>
      <c r="M5" s="3">
        <v>0</v>
      </c>
      <c r="O5" s="138">
        <f t="shared" si="0"/>
        <v>0</v>
      </c>
      <c r="Q5" s="138">
        <f t="shared" si="1"/>
        <v>500</v>
      </c>
    </row>
    <row r="6" spans="1:17" x14ac:dyDescent="0.25">
      <c r="A6" s="6" t="s">
        <v>6</v>
      </c>
      <c r="B6" s="3">
        <v>38000</v>
      </c>
      <c r="C6" s="20">
        <v>36.29</v>
      </c>
      <c r="D6" s="21">
        <v>38000</v>
      </c>
      <c r="E6" s="22">
        <v>46.23</v>
      </c>
      <c r="G6" s="93" t="s">
        <v>152</v>
      </c>
      <c r="H6" s="31" t="s">
        <v>158</v>
      </c>
      <c r="I6" s="94" t="s">
        <v>161</v>
      </c>
      <c r="K6" s="3">
        <v>500</v>
      </c>
      <c r="M6" s="3">
        <v>0</v>
      </c>
      <c r="O6" s="138">
        <f t="shared" si="0"/>
        <v>0</v>
      </c>
      <c r="Q6" s="138">
        <f t="shared" si="1"/>
        <v>500</v>
      </c>
    </row>
    <row r="7" spans="1:17" ht="15.75" thickBot="1" x14ac:dyDescent="0.3">
      <c r="A7" s="7" t="s">
        <v>7</v>
      </c>
      <c r="B7" s="3">
        <v>13850</v>
      </c>
      <c r="C7" s="20">
        <v>13.23</v>
      </c>
      <c r="D7" s="33">
        <v>13850</v>
      </c>
      <c r="E7" s="34">
        <v>16.850000000000001</v>
      </c>
      <c r="G7" s="91" t="s">
        <v>152</v>
      </c>
      <c r="H7" s="28" t="s">
        <v>158</v>
      </c>
      <c r="I7" s="92" t="s">
        <v>162</v>
      </c>
      <c r="K7" s="3">
        <v>500</v>
      </c>
      <c r="M7" s="3">
        <v>305</v>
      </c>
      <c r="O7" s="138">
        <f t="shared" si="0"/>
        <v>1301.2043282121406</v>
      </c>
      <c r="Q7" s="138">
        <f t="shared" si="1"/>
        <v>1801.2043282121406</v>
      </c>
    </row>
    <row r="8" spans="1:17" ht="15.75" thickBot="1" x14ac:dyDescent="0.3">
      <c r="A8" s="35" t="s">
        <v>8</v>
      </c>
      <c r="B8" s="3">
        <v>22500</v>
      </c>
      <c r="C8" s="20">
        <v>21.49</v>
      </c>
      <c r="D8" s="3"/>
      <c r="G8" s="93" t="s">
        <v>152</v>
      </c>
      <c r="H8" s="31" t="s">
        <v>158</v>
      </c>
      <c r="I8" s="94" t="s">
        <v>163</v>
      </c>
      <c r="K8" s="3">
        <v>500</v>
      </c>
      <c r="M8" s="3">
        <v>0</v>
      </c>
      <c r="O8" s="138">
        <f t="shared" si="0"/>
        <v>0</v>
      </c>
      <c r="Q8" s="138">
        <f t="shared" si="1"/>
        <v>500</v>
      </c>
    </row>
    <row r="9" spans="1:17" ht="15.75" thickBot="1" x14ac:dyDescent="0.3">
      <c r="G9" s="91" t="s">
        <v>152</v>
      </c>
      <c r="H9" s="28" t="s">
        <v>158</v>
      </c>
      <c r="I9" s="92" t="s">
        <v>165</v>
      </c>
      <c r="K9" s="3">
        <v>500</v>
      </c>
      <c r="M9" s="3">
        <v>0</v>
      </c>
      <c r="O9" s="138">
        <f t="shared" si="0"/>
        <v>0</v>
      </c>
      <c r="Q9" s="138">
        <f t="shared" si="1"/>
        <v>500</v>
      </c>
    </row>
    <row r="10" spans="1:17" ht="15.75" thickBot="1" x14ac:dyDescent="0.3">
      <c r="A10" s="36" t="s">
        <v>27</v>
      </c>
      <c r="B10" s="11">
        <v>104700</v>
      </c>
      <c r="C10" s="37">
        <v>100</v>
      </c>
      <c r="D10" s="11">
        <v>82200</v>
      </c>
      <c r="E10" s="37">
        <v>100</v>
      </c>
      <c r="G10" s="93" t="s">
        <v>152</v>
      </c>
      <c r="H10" s="31" t="s">
        <v>158</v>
      </c>
      <c r="I10" s="94" t="s">
        <v>166</v>
      </c>
      <c r="K10" s="3">
        <v>500</v>
      </c>
      <c r="M10" s="3">
        <v>0</v>
      </c>
      <c r="O10" s="138">
        <f t="shared" si="0"/>
        <v>0</v>
      </c>
      <c r="Q10" s="138">
        <f t="shared" si="1"/>
        <v>500</v>
      </c>
    </row>
    <row r="11" spans="1:17" x14ac:dyDescent="0.25">
      <c r="A11" s="146"/>
      <c r="B11" s="147"/>
      <c r="C11" s="148"/>
      <c r="D11" s="147"/>
      <c r="E11" s="148"/>
      <c r="F11" s="137"/>
      <c r="G11" s="139" t="s">
        <v>152</v>
      </c>
      <c r="H11" s="140" t="s">
        <v>158</v>
      </c>
      <c r="I11" s="141" t="s">
        <v>177</v>
      </c>
      <c r="K11" s="3">
        <v>500</v>
      </c>
      <c r="M11" s="3">
        <v>0</v>
      </c>
      <c r="O11" s="138">
        <f t="shared" si="0"/>
        <v>0</v>
      </c>
      <c r="Q11" s="138">
        <f t="shared" si="1"/>
        <v>500</v>
      </c>
    </row>
    <row r="12" spans="1:17" x14ac:dyDescent="0.25">
      <c r="A12" s="137"/>
      <c r="B12" s="137"/>
      <c r="C12" s="137"/>
      <c r="D12" s="137"/>
      <c r="E12" s="137"/>
      <c r="F12" s="137"/>
      <c r="G12" s="118" t="s">
        <v>152</v>
      </c>
      <c r="H12" s="119" t="s">
        <v>167</v>
      </c>
      <c r="I12" s="120" t="s">
        <v>168</v>
      </c>
      <c r="K12" s="3">
        <v>500</v>
      </c>
      <c r="M12" s="3">
        <v>227.83333333333334</v>
      </c>
      <c r="O12" s="138">
        <f t="shared" si="0"/>
        <v>971.99252276830407</v>
      </c>
      <c r="Q12" s="138">
        <f t="shared" si="1"/>
        <v>1471.9925227683041</v>
      </c>
    </row>
    <row r="13" spans="1:17" ht="15.75" thickBot="1" x14ac:dyDescent="0.3">
      <c r="G13" s="142" t="s">
        <v>155</v>
      </c>
      <c r="H13" s="143" t="s">
        <v>167</v>
      </c>
      <c r="I13" s="144" t="s">
        <v>169</v>
      </c>
      <c r="K13" s="3">
        <v>500</v>
      </c>
      <c r="M13" s="3">
        <v>336.5</v>
      </c>
      <c r="O13" s="138">
        <f t="shared" si="0"/>
        <v>1435.591004732411</v>
      </c>
      <c r="Q13" s="138">
        <f t="shared" si="1"/>
        <v>1935.591004732411</v>
      </c>
    </row>
    <row r="14" spans="1:17" ht="15.75" thickBot="1" x14ac:dyDescent="0.3">
      <c r="A14" s="95" t="s">
        <v>6</v>
      </c>
      <c r="B14" s="11">
        <v>38000</v>
      </c>
      <c r="D14" s="11">
        <v>63645.53</v>
      </c>
      <c r="G14" s="118" t="s">
        <v>155</v>
      </c>
      <c r="H14" s="119" t="s">
        <v>167</v>
      </c>
      <c r="I14" s="120" t="s">
        <v>170</v>
      </c>
      <c r="K14" s="3">
        <v>500</v>
      </c>
      <c r="M14" s="3">
        <v>82</v>
      </c>
      <c r="O14" s="138">
        <f t="shared" si="0"/>
        <v>349.83198332260832</v>
      </c>
      <c r="Q14" s="138">
        <f t="shared" si="1"/>
        <v>849.83198332260827</v>
      </c>
    </row>
    <row r="15" spans="1:17" x14ac:dyDescent="0.25">
      <c r="G15" s="142" t="s">
        <v>155</v>
      </c>
      <c r="H15" s="143" t="s">
        <v>167</v>
      </c>
      <c r="I15" s="144" t="s">
        <v>171</v>
      </c>
      <c r="K15" s="3">
        <v>500</v>
      </c>
      <c r="M15" s="3">
        <v>0</v>
      </c>
      <c r="O15" s="138">
        <f t="shared" si="0"/>
        <v>0</v>
      </c>
      <c r="Q15" s="138">
        <f t="shared" si="1"/>
        <v>500</v>
      </c>
    </row>
    <row r="16" spans="1:17" x14ac:dyDescent="0.25">
      <c r="A16" t="s">
        <v>248</v>
      </c>
      <c r="G16" s="118" t="s">
        <v>155</v>
      </c>
      <c r="H16" s="119" t="s">
        <v>167</v>
      </c>
      <c r="I16" s="120" t="s">
        <v>172</v>
      </c>
      <c r="K16" s="3">
        <v>500</v>
      </c>
      <c r="M16" s="3">
        <v>342.33333333333331</v>
      </c>
      <c r="O16" s="138">
        <f t="shared" si="0"/>
        <v>1460.4774263102388</v>
      </c>
      <c r="Q16" s="138">
        <f t="shared" si="1"/>
        <v>1960.4774263102388</v>
      </c>
    </row>
    <row r="17" spans="1:17" x14ac:dyDescent="0.25">
      <c r="A17" t="s">
        <v>249</v>
      </c>
      <c r="G17" s="142" t="s">
        <v>152</v>
      </c>
      <c r="H17" s="143" t="s">
        <v>167</v>
      </c>
      <c r="I17" s="144" t="s">
        <v>173</v>
      </c>
      <c r="K17" s="3">
        <v>500</v>
      </c>
      <c r="M17" s="3">
        <v>217.5</v>
      </c>
      <c r="O17" s="138">
        <f t="shared" si="0"/>
        <v>927.90800454472321</v>
      </c>
      <c r="Q17" s="138">
        <f t="shared" si="1"/>
        <v>1427.9080045447231</v>
      </c>
    </row>
    <row r="18" spans="1:17" x14ac:dyDescent="0.25">
      <c r="A18" t="s">
        <v>244</v>
      </c>
      <c r="C18" s="145">
        <v>14918.4</v>
      </c>
      <c r="G18" s="118" t="s">
        <v>155</v>
      </c>
      <c r="H18" s="119" t="s">
        <v>167</v>
      </c>
      <c r="I18" s="120" t="s">
        <v>174</v>
      </c>
      <c r="K18" s="3">
        <v>500</v>
      </c>
      <c r="M18" s="3">
        <v>452.66666666666669</v>
      </c>
      <c r="O18" s="138">
        <f t="shared" si="0"/>
        <v>1931.1863144394395</v>
      </c>
      <c r="Q18" s="138">
        <f t="shared" si="1"/>
        <v>2431.1863144394392</v>
      </c>
    </row>
    <row r="19" spans="1:17" x14ac:dyDescent="0.25">
      <c r="A19" t="s">
        <v>250</v>
      </c>
      <c r="C19">
        <f>SUM(D14/C18)</f>
        <v>4.2662436990561989</v>
      </c>
      <c r="G19" s="142" t="s">
        <v>155</v>
      </c>
      <c r="H19" s="143" t="s">
        <v>167</v>
      </c>
      <c r="I19" s="144" t="s">
        <v>175</v>
      </c>
      <c r="K19" s="3">
        <v>500</v>
      </c>
      <c r="M19" s="3">
        <v>0</v>
      </c>
      <c r="O19" s="138">
        <f t="shared" si="0"/>
        <v>0</v>
      </c>
      <c r="Q19" s="138">
        <f t="shared" si="1"/>
        <v>500</v>
      </c>
    </row>
    <row r="20" spans="1:17" x14ac:dyDescent="0.25">
      <c r="G20" s="93" t="s">
        <v>155</v>
      </c>
      <c r="H20" s="31" t="s">
        <v>178</v>
      </c>
      <c r="I20" s="94" t="s">
        <v>179</v>
      </c>
      <c r="K20" s="3">
        <v>500</v>
      </c>
      <c r="M20" s="3">
        <v>0</v>
      </c>
      <c r="O20" s="138">
        <f t="shared" si="0"/>
        <v>0</v>
      </c>
      <c r="Q20" s="138">
        <f t="shared" si="1"/>
        <v>500</v>
      </c>
    </row>
    <row r="21" spans="1:17" x14ac:dyDescent="0.25">
      <c r="G21" s="139" t="s">
        <v>152</v>
      </c>
      <c r="H21" s="140" t="s">
        <v>178</v>
      </c>
      <c r="I21" s="141" t="s">
        <v>180</v>
      </c>
      <c r="K21" s="3">
        <v>500</v>
      </c>
      <c r="M21" s="3">
        <v>0</v>
      </c>
      <c r="O21" s="138">
        <f>SUM(M21*$C$19)</f>
        <v>0</v>
      </c>
      <c r="Q21" s="138">
        <f t="shared" si="1"/>
        <v>500</v>
      </c>
    </row>
    <row r="22" spans="1:17" x14ac:dyDescent="0.25">
      <c r="G22" s="93" t="s">
        <v>152</v>
      </c>
      <c r="H22" s="31" t="s">
        <v>178</v>
      </c>
      <c r="I22" s="94" t="s">
        <v>181</v>
      </c>
      <c r="K22" s="3">
        <v>500</v>
      </c>
      <c r="M22" s="3">
        <v>833.66666666666663</v>
      </c>
      <c r="O22" s="138">
        <f t="shared" si="0"/>
        <v>3556.6251637798509</v>
      </c>
      <c r="Q22" s="138">
        <f t="shared" si="1"/>
        <v>4056.6251637798509</v>
      </c>
    </row>
    <row r="23" spans="1:17" x14ac:dyDescent="0.25">
      <c r="G23" s="139" t="s">
        <v>155</v>
      </c>
      <c r="H23" s="140" t="s">
        <v>178</v>
      </c>
      <c r="I23" s="141" t="s">
        <v>182</v>
      </c>
      <c r="K23" s="3">
        <v>500</v>
      </c>
      <c r="M23" s="3">
        <v>0</v>
      </c>
      <c r="O23" s="138">
        <f t="shared" si="0"/>
        <v>0</v>
      </c>
      <c r="Q23" s="138">
        <f t="shared" si="1"/>
        <v>500</v>
      </c>
    </row>
    <row r="24" spans="1:17" x14ac:dyDescent="0.25">
      <c r="G24" s="93" t="s">
        <v>152</v>
      </c>
      <c r="H24" s="31" t="s">
        <v>178</v>
      </c>
      <c r="I24" s="94" t="s">
        <v>183</v>
      </c>
      <c r="K24" s="3">
        <v>500</v>
      </c>
      <c r="M24" s="3">
        <v>193.83333333333334</v>
      </c>
      <c r="O24" s="138">
        <f t="shared" si="0"/>
        <v>826.94023700039327</v>
      </c>
      <c r="Q24" s="138">
        <f t="shared" si="1"/>
        <v>1326.9402370003932</v>
      </c>
    </row>
    <row r="25" spans="1:17" x14ac:dyDescent="0.25">
      <c r="G25" s="91" t="s">
        <v>152</v>
      </c>
      <c r="H25" s="28" t="s">
        <v>178</v>
      </c>
      <c r="I25" s="92" t="s">
        <v>184</v>
      </c>
      <c r="K25" s="3">
        <v>500</v>
      </c>
      <c r="M25" s="3">
        <v>0</v>
      </c>
      <c r="O25" s="138">
        <f t="shared" si="0"/>
        <v>0</v>
      </c>
      <c r="Q25" s="138">
        <f t="shared" si="1"/>
        <v>500</v>
      </c>
    </row>
    <row r="26" spans="1:17" x14ac:dyDescent="0.25">
      <c r="G26" s="93" t="s">
        <v>152</v>
      </c>
      <c r="H26" s="31" t="s">
        <v>178</v>
      </c>
      <c r="I26" s="94" t="s">
        <v>185</v>
      </c>
      <c r="K26" s="3">
        <v>500</v>
      </c>
      <c r="M26" s="3">
        <v>744.58333333333337</v>
      </c>
      <c r="O26" s="138">
        <f t="shared" si="0"/>
        <v>3176.5739542555948</v>
      </c>
      <c r="Q26" s="138">
        <f t="shared" si="1"/>
        <v>3676.5739542555948</v>
      </c>
    </row>
    <row r="27" spans="1:17" x14ac:dyDescent="0.25">
      <c r="G27" s="91" t="s">
        <v>155</v>
      </c>
      <c r="H27" s="28" t="s">
        <v>178</v>
      </c>
      <c r="I27" s="92" t="s">
        <v>186</v>
      </c>
      <c r="K27" s="3">
        <v>500</v>
      </c>
      <c r="M27" s="3">
        <v>469.16666666666669</v>
      </c>
      <c r="O27" s="138">
        <f t="shared" si="0"/>
        <v>2001.5793354738666</v>
      </c>
      <c r="Q27" s="138">
        <f t="shared" si="1"/>
        <v>2501.5793354738666</v>
      </c>
    </row>
    <row r="28" spans="1:17" x14ac:dyDescent="0.25">
      <c r="G28" s="93" t="s">
        <v>152</v>
      </c>
      <c r="H28" s="31" t="s">
        <v>178</v>
      </c>
      <c r="I28" s="94" t="s">
        <v>187</v>
      </c>
      <c r="K28" s="3">
        <v>500</v>
      </c>
      <c r="M28" s="3">
        <v>508.66666666666669</v>
      </c>
      <c r="O28" s="138">
        <f t="shared" si="0"/>
        <v>2170.0959615865868</v>
      </c>
      <c r="Q28" s="138">
        <f t="shared" si="1"/>
        <v>2670.0959615865868</v>
      </c>
    </row>
    <row r="29" spans="1:17" x14ac:dyDescent="0.25">
      <c r="G29" s="91" t="s">
        <v>152</v>
      </c>
      <c r="H29" s="28" t="s">
        <v>178</v>
      </c>
      <c r="I29" s="92" t="s">
        <v>188</v>
      </c>
      <c r="K29" s="3">
        <v>500</v>
      </c>
      <c r="M29" s="3">
        <v>1287.1666666666667</v>
      </c>
      <c r="O29" s="138">
        <f t="shared" si="0"/>
        <v>5491.3666813018381</v>
      </c>
      <c r="Q29" s="138">
        <f t="shared" si="1"/>
        <v>5991.3666813018381</v>
      </c>
    </row>
    <row r="30" spans="1:17" x14ac:dyDescent="0.25">
      <c r="G30" s="93" t="s">
        <v>152</v>
      </c>
      <c r="H30" s="31" t="s">
        <v>178</v>
      </c>
      <c r="I30" s="94" t="s">
        <v>189</v>
      </c>
      <c r="K30" s="3">
        <v>500</v>
      </c>
      <c r="M30" s="3">
        <v>348</v>
      </c>
      <c r="O30" s="138">
        <f t="shared" si="0"/>
        <v>1484.6528072715573</v>
      </c>
      <c r="Q30" s="138">
        <f t="shared" si="1"/>
        <v>1984.6528072715573</v>
      </c>
    </row>
    <row r="31" spans="1:17" x14ac:dyDescent="0.25">
      <c r="G31" s="91" t="s">
        <v>152</v>
      </c>
      <c r="H31" s="28" t="s">
        <v>190</v>
      </c>
      <c r="I31" s="92" t="s">
        <v>191</v>
      </c>
      <c r="K31" s="3">
        <v>500</v>
      </c>
      <c r="M31" s="3">
        <v>885</v>
      </c>
      <c r="O31" s="138">
        <f t="shared" si="0"/>
        <v>3775.625673664736</v>
      </c>
      <c r="Q31" s="138">
        <f t="shared" si="1"/>
        <v>4275.6256736647356</v>
      </c>
    </row>
    <row r="32" spans="1:17" x14ac:dyDescent="0.25">
      <c r="G32" s="93" t="s">
        <v>152</v>
      </c>
      <c r="H32" s="31" t="s">
        <v>190</v>
      </c>
      <c r="I32" s="94" t="s">
        <v>192</v>
      </c>
      <c r="K32" s="3">
        <v>500</v>
      </c>
      <c r="M32" s="3">
        <v>460.66666666666669</v>
      </c>
      <c r="O32" s="138">
        <f t="shared" si="0"/>
        <v>1965.316264031889</v>
      </c>
      <c r="Q32" s="138">
        <f t="shared" si="1"/>
        <v>2465.3162640318887</v>
      </c>
    </row>
    <row r="33" spans="7:17" x14ac:dyDescent="0.25">
      <c r="G33" s="91" t="s">
        <v>152</v>
      </c>
      <c r="H33" s="28" t="s">
        <v>193</v>
      </c>
      <c r="I33" s="92" t="s">
        <v>194</v>
      </c>
      <c r="K33" s="3">
        <v>500</v>
      </c>
      <c r="M33" s="3">
        <v>106</v>
      </c>
      <c r="O33" s="138">
        <f t="shared" si="0"/>
        <v>452.22183209995711</v>
      </c>
      <c r="Q33" s="138">
        <f t="shared" si="1"/>
        <v>952.22183209995706</v>
      </c>
    </row>
    <row r="34" spans="7:17" x14ac:dyDescent="0.25">
      <c r="G34" s="93" t="s">
        <v>152</v>
      </c>
      <c r="H34" s="31" t="s">
        <v>193</v>
      </c>
      <c r="I34" s="94" t="s">
        <v>195</v>
      </c>
      <c r="K34" s="3">
        <v>500</v>
      </c>
      <c r="M34" s="3">
        <v>229.66666666666666</v>
      </c>
      <c r="O34" s="138">
        <f t="shared" si="0"/>
        <v>979.81396954990703</v>
      </c>
      <c r="Q34" s="138">
        <f t="shared" si="1"/>
        <v>1479.8139695499071</v>
      </c>
    </row>
    <row r="35" spans="7:17" x14ac:dyDescent="0.25">
      <c r="G35" s="91" t="s">
        <v>155</v>
      </c>
      <c r="H35" s="28" t="s">
        <v>193</v>
      </c>
      <c r="I35" s="92" t="s">
        <v>196</v>
      </c>
      <c r="K35" s="3">
        <v>500</v>
      </c>
      <c r="M35" s="3">
        <v>0</v>
      </c>
      <c r="O35" s="138">
        <f t="shared" si="0"/>
        <v>0</v>
      </c>
      <c r="Q35" s="138">
        <f t="shared" si="1"/>
        <v>500</v>
      </c>
    </row>
    <row r="36" spans="7:17" x14ac:dyDescent="0.25">
      <c r="G36" s="93" t="s">
        <v>152</v>
      </c>
      <c r="H36" s="31" t="s">
        <v>193</v>
      </c>
      <c r="I36" s="94" t="s">
        <v>197</v>
      </c>
      <c r="K36" s="3">
        <v>500</v>
      </c>
      <c r="M36" s="3">
        <v>0</v>
      </c>
      <c r="O36" s="138">
        <f t="shared" si="0"/>
        <v>0</v>
      </c>
      <c r="Q36" s="138">
        <f t="shared" si="1"/>
        <v>500</v>
      </c>
    </row>
    <row r="37" spans="7:17" x14ac:dyDescent="0.25">
      <c r="G37" s="91" t="s">
        <v>152</v>
      </c>
      <c r="H37" s="28" t="s">
        <v>193</v>
      </c>
      <c r="I37" s="92" t="s">
        <v>198</v>
      </c>
      <c r="K37" s="3">
        <v>500</v>
      </c>
      <c r="M37" s="3">
        <v>183.33333333333334</v>
      </c>
      <c r="O37" s="138">
        <f>SUM(M37*$C$19)</f>
        <v>782.14467816030322</v>
      </c>
      <c r="Q37" s="138">
        <f t="shared" si="1"/>
        <v>1282.1446781603031</v>
      </c>
    </row>
    <row r="38" spans="7:17" x14ac:dyDescent="0.25">
      <c r="G38" s="93" t="s">
        <v>155</v>
      </c>
      <c r="H38" s="31" t="s">
        <v>193</v>
      </c>
      <c r="I38" s="94" t="s">
        <v>199</v>
      </c>
      <c r="K38" s="3">
        <v>500</v>
      </c>
      <c r="M38" s="3">
        <v>194.33333333333334</v>
      </c>
      <c r="O38" s="138">
        <f t="shared" si="0"/>
        <v>829.07335884992142</v>
      </c>
      <c r="Q38" s="138">
        <f t="shared" si="1"/>
        <v>1329.0733588499215</v>
      </c>
    </row>
    <row r="39" spans="7:17" x14ac:dyDescent="0.25">
      <c r="G39" s="91" t="s">
        <v>152</v>
      </c>
      <c r="H39" s="28" t="s">
        <v>193</v>
      </c>
      <c r="I39" s="92" t="s">
        <v>200</v>
      </c>
      <c r="K39" s="3">
        <v>500</v>
      </c>
      <c r="M39" s="3">
        <v>0</v>
      </c>
      <c r="O39" s="138">
        <f t="shared" si="0"/>
        <v>0</v>
      </c>
      <c r="Q39" s="138">
        <f t="shared" si="1"/>
        <v>500</v>
      </c>
    </row>
    <row r="40" spans="7:17" x14ac:dyDescent="0.25">
      <c r="G40" s="93" t="s">
        <v>152</v>
      </c>
      <c r="H40" s="31" t="s">
        <v>193</v>
      </c>
      <c r="I40" s="94" t="s">
        <v>201</v>
      </c>
      <c r="K40" s="3">
        <v>500</v>
      </c>
      <c r="M40" s="3">
        <v>0</v>
      </c>
      <c r="O40" s="138">
        <f t="shared" si="0"/>
        <v>0</v>
      </c>
      <c r="Q40" s="138">
        <f t="shared" si="1"/>
        <v>500</v>
      </c>
    </row>
    <row r="41" spans="7:17" x14ac:dyDescent="0.25">
      <c r="G41" s="91" t="s">
        <v>152</v>
      </c>
      <c r="H41" s="28" t="s">
        <v>193</v>
      </c>
      <c r="I41" s="92" t="s">
        <v>202</v>
      </c>
      <c r="K41" s="3">
        <v>500</v>
      </c>
      <c r="M41" s="3">
        <v>207.33333333333334</v>
      </c>
      <c r="O41" s="138">
        <f t="shared" si="0"/>
        <v>884.534526937652</v>
      </c>
      <c r="Q41" s="138">
        <f t="shared" si="1"/>
        <v>1384.5345269376521</v>
      </c>
    </row>
    <row r="42" spans="7:17" x14ac:dyDescent="0.25">
      <c r="G42" s="93" t="s">
        <v>155</v>
      </c>
      <c r="H42" s="31" t="s">
        <v>193</v>
      </c>
      <c r="I42" s="94" t="s">
        <v>203</v>
      </c>
      <c r="K42" s="3">
        <v>500</v>
      </c>
      <c r="M42" s="3">
        <v>172.33333333333334</v>
      </c>
      <c r="O42" s="138">
        <f t="shared" si="0"/>
        <v>735.21599747068501</v>
      </c>
      <c r="Q42" s="138">
        <f t="shared" si="1"/>
        <v>1235.2159974706851</v>
      </c>
    </row>
    <row r="43" spans="7:17" x14ac:dyDescent="0.25">
      <c r="G43" s="91" t="s">
        <v>152</v>
      </c>
      <c r="H43" s="28" t="s">
        <v>193</v>
      </c>
      <c r="I43" s="92" t="s">
        <v>204</v>
      </c>
      <c r="K43" s="3">
        <v>500</v>
      </c>
      <c r="M43" s="3">
        <v>229.33333333333334</v>
      </c>
      <c r="O43" s="138">
        <f t="shared" si="0"/>
        <v>978.3918883168883</v>
      </c>
      <c r="Q43" s="138">
        <f t="shared" si="1"/>
        <v>1478.3918883168883</v>
      </c>
    </row>
    <row r="44" spans="7:17" x14ac:dyDescent="0.25">
      <c r="G44" s="93" t="s">
        <v>152</v>
      </c>
      <c r="H44" s="31" t="s">
        <v>193</v>
      </c>
      <c r="I44" s="94" t="s">
        <v>205</v>
      </c>
      <c r="K44" s="3">
        <v>500</v>
      </c>
      <c r="M44" s="3">
        <v>282.33333333333331</v>
      </c>
      <c r="O44" s="138">
        <f t="shared" si="0"/>
        <v>1204.5028043668667</v>
      </c>
      <c r="Q44" s="138">
        <f t="shared" si="1"/>
        <v>1704.5028043668667</v>
      </c>
    </row>
    <row r="45" spans="7:17" x14ac:dyDescent="0.25">
      <c r="G45" s="91" t="s">
        <v>152</v>
      </c>
      <c r="H45" s="28" t="s">
        <v>193</v>
      </c>
      <c r="I45" s="92" t="s">
        <v>206</v>
      </c>
      <c r="K45" s="3">
        <v>500</v>
      </c>
      <c r="M45" s="3">
        <v>238.33333333333334</v>
      </c>
      <c r="O45" s="138">
        <f t="shared" si="0"/>
        <v>1016.7880816083941</v>
      </c>
      <c r="Q45" s="138">
        <f>SUM(O45+K45)</f>
        <v>1516.7880816083941</v>
      </c>
    </row>
    <row r="46" spans="7:17" x14ac:dyDescent="0.25">
      <c r="G46" s="96" t="s">
        <v>152</v>
      </c>
      <c r="H46" s="97" t="s">
        <v>207</v>
      </c>
      <c r="I46" s="94" t="s">
        <v>208</v>
      </c>
      <c r="K46" s="3">
        <v>500</v>
      </c>
      <c r="M46" s="3">
        <v>0</v>
      </c>
      <c r="O46" s="138">
        <f t="shared" si="0"/>
        <v>0</v>
      </c>
      <c r="Q46" s="138">
        <f t="shared" si="1"/>
        <v>500</v>
      </c>
    </row>
    <row r="47" spans="7:17" x14ac:dyDescent="0.25">
      <c r="G47" s="91" t="s">
        <v>152</v>
      </c>
      <c r="H47" s="28" t="s">
        <v>207</v>
      </c>
      <c r="I47" s="92" t="s">
        <v>209</v>
      </c>
      <c r="K47" s="3">
        <v>500</v>
      </c>
      <c r="M47" s="3">
        <v>0</v>
      </c>
      <c r="O47" s="138">
        <f t="shared" si="0"/>
        <v>0</v>
      </c>
      <c r="Q47" s="138">
        <f t="shared" si="1"/>
        <v>500</v>
      </c>
    </row>
    <row r="48" spans="7:17" x14ac:dyDescent="0.25">
      <c r="G48" s="93" t="s">
        <v>155</v>
      </c>
      <c r="H48" s="31" t="s">
        <v>207</v>
      </c>
      <c r="I48" s="94" t="s">
        <v>210</v>
      </c>
      <c r="K48" s="3">
        <v>500</v>
      </c>
      <c r="M48" s="3">
        <v>875.75</v>
      </c>
      <c r="O48" s="138">
        <f t="shared" si="0"/>
        <v>3736.1629194484663</v>
      </c>
      <c r="Q48" s="138">
        <f t="shared" si="1"/>
        <v>4236.1629194484667</v>
      </c>
    </row>
    <row r="49" spans="7:17" x14ac:dyDescent="0.25">
      <c r="G49" s="91" t="s">
        <v>152</v>
      </c>
      <c r="H49" s="28" t="s">
        <v>207</v>
      </c>
      <c r="I49" s="92" t="s">
        <v>211</v>
      </c>
      <c r="K49" s="3">
        <v>500</v>
      </c>
      <c r="M49" s="3">
        <v>0</v>
      </c>
      <c r="O49" s="138">
        <f t="shared" si="0"/>
        <v>0</v>
      </c>
      <c r="Q49" s="138">
        <f t="shared" si="1"/>
        <v>500</v>
      </c>
    </row>
    <row r="50" spans="7:17" x14ac:dyDescent="0.25">
      <c r="G50" s="93" t="s">
        <v>155</v>
      </c>
      <c r="H50" s="31" t="s">
        <v>207</v>
      </c>
      <c r="I50" s="94" t="s">
        <v>212</v>
      </c>
      <c r="K50" s="3">
        <v>500</v>
      </c>
      <c r="M50" s="3">
        <v>529.33333333333337</v>
      </c>
      <c r="O50" s="138">
        <f t="shared" si="0"/>
        <v>2258.2649980337483</v>
      </c>
      <c r="Q50" s="138">
        <f t="shared" si="1"/>
        <v>2758.2649980337483</v>
      </c>
    </row>
    <row r="51" spans="7:17" x14ac:dyDescent="0.25">
      <c r="G51" s="91" t="s">
        <v>152</v>
      </c>
      <c r="H51" s="28" t="s">
        <v>207</v>
      </c>
      <c r="I51" s="92" t="s">
        <v>213</v>
      </c>
      <c r="K51" s="3">
        <v>500</v>
      </c>
      <c r="M51" s="3">
        <v>1499.5</v>
      </c>
      <c r="O51" s="138">
        <f t="shared" si="0"/>
        <v>6397.2324267347703</v>
      </c>
      <c r="Q51" s="138">
        <f t="shared" si="1"/>
        <v>6897.2324267347703</v>
      </c>
    </row>
    <row r="52" spans="7:17" x14ac:dyDescent="0.25">
      <c r="G52" s="93" t="s">
        <v>155</v>
      </c>
      <c r="H52" s="31" t="s">
        <v>207</v>
      </c>
      <c r="I52" s="94" t="s">
        <v>214</v>
      </c>
      <c r="K52" s="3">
        <v>500</v>
      </c>
      <c r="M52" s="3">
        <v>537.33333333333337</v>
      </c>
      <c r="O52" s="138">
        <f t="shared" si="0"/>
        <v>2292.3949476261978</v>
      </c>
      <c r="Q52" s="138">
        <f t="shared" si="1"/>
        <v>2792.3949476261978</v>
      </c>
    </row>
    <row r="53" spans="7:17" x14ac:dyDescent="0.25">
      <c r="G53" s="91" t="s">
        <v>155</v>
      </c>
      <c r="H53" s="28" t="s">
        <v>207</v>
      </c>
      <c r="I53" s="92" t="s">
        <v>215</v>
      </c>
      <c r="K53" s="3">
        <v>500</v>
      </c>
      <c r="M53" s="3">
        <v>0</v>
      </c>
      <c r="O53" s="138">
        <f t="shared" si="0"/>
        <v>0</v>
      </c>
      <c r="Q53" s="138">
        <f t="shared" si="1"/>
        <v>500</v>
      </c>
    </row>
    <row r="54" spans="7:17" x14ac:dyDescent="0.25">
      <c r="G54" s="93" t="s">
        <v>152</v>
      </c>
      <c r="H54" s="31" t="s">
        <v>216</v>
      </c>
      <c r="I54" s="94" t="s">
        <v>217</v>
      </c>
      <c r="K54" s="3">
        <v>500</v>
      </c>
      <c r="M54" s="3">
        <v>391.25</v>
      </c>
      <c r="O54" s="138">
        <f t="shared" si="0"/>
        <v>1669.1678472557378</v>
      </c>
      <c r="Q54" s="138">
        <f t="shared" si="1"/>
        <v>2169.1678472557378</v>
      </c>
    </row>
    <row r="55" spans="7:17" x14ac:dyDescent="0.25">
      <c r="G55" s="91" t="s">
        <v>155</v>
      </c>
      <c r="H55" s="28" t="s">
        <v>216</v>
      </c>
      <c r="I55" s="92" t="s">
        <v>218</v>
      </c>
      <c r="K55" s="3">
        <v>500</v>
      </c>
      <c r="M55" s="3">
        <v>0</v>
      </c>
      <c r="O55" s="138">
        <f>SUM(M55*$C$19)</f>
        <v>0</v>
      </c>
      <c r="Q55" s="138">
        <f t="shared" si="1"/>
        <v>500</v>
      </c>
    </row>
    <row r="56" spans="7:17" x14ac:dyDescent="0.25">
      <c r="G56" s="93" t="s">
        <v>152</v>
      </c>
      <c r="H56" s="31"/>
      <c r="I56" s="94" t="s">
        <v>219</v>
      </c>
      <c r="K56" s="3">
        <v>500</v>
      </c>
      <c r="M56" s="3">
        <v>330</v>
      </c>
      <c r="O56" s="138">
        <f t="shared" si="0"/>
        <v>1407.8604206885457</v>
      </c>
      <c r="Q56" s="138">
        <f t="shared" si="1"/>
        <v>1907.8604206885457</v>
      </c>
    </row>
    <row r="57" spans="7:17" x14ac:dyDescent="0.25">
      <c r="G57" s="91" t="s">
        <v>155</v>
      </c>
      <c r="H57" s="28"/>
      <c r="I57" s="92" t="s">
        <v>220</v>
      </c>
      <c r="K57" s="3">
        <v>500</v>
      </c>
      <c r="M57" s="3">
        <v>0</v>
      </c>
      <c r="O57" s="138">
        <f t="shared" si="0"/>
        <v>0</v>
      </c>
      <c r="Q57" s="138">
        <f t="shared" si="1"/>
        <v>500</v>
      </c>
    </row>
    <row r="58" spans="7:17" x14ac:dyDescent="0.25">
      <c r="G58" s="93" t="s">
        <v>152</v>
      </c>
      <c r="H58" s="31"/>
      <c r="I58" s="94" t="s">
        <v>221</v>
      </c>
      <c r="K58" s="3">
        <v>500</v>
      </c>
      <c r="M58" s="3">
        <v>53.666666666666664</v>
      </c>
      <c r="O58" s="138">
        <f t="shared" si="0"/>
        <v>228.95507851601599</v>
      </c>
      <c r="Q58" s="138">
        <f t="shared" si="1"/>
        <v>728.95507851601599</v>
      </c>
    </row>
    <row r="59" spans="7:17" x14ac:dyDescent="0.25">
      <c r="G59" s="91" t="s">
        <v>155</v>
      </c>
      <c r="H59" s="28"/>
      <c r="I59" s="92" t="s">
        <v>222</v>
      </c>
      <c r="K59" s="3">
        <v>500</v>
      </c>
      <c r="M59" s="3">
        <v>0</v>
      </c>
      <c r="O59" s="138">
        <f t="shared" si="0"/>
        <v>0</v>
      </c>
      <c r="Q59" s="138">
        <f t="shared" si="1"/>
        <v>500</v>
      </c>
    </row>
    <row r="60" spans="7:17" x14ac:dyDescent="0.25">
      <c r="G60" s="93" t="s">
        <v>155</v>
      </c>
      <c r="H60" s="31"/>
      <c r="I60" s="94" t="s">
        <v>223</v>
      </c>
      <c r="K60" s="3">
        <v>500</v>
      </c>
      <c r="M60" s="3">
        <v>381.75</v>
      </c>
      <c r="O60" s="138">
        <f t="shared" si="0"/>
        <v>1628.638532114704</v>
      </c>
      <c r="Q60" s="138">
        <f t="shared" si="1"/>
        <v>2128.638532114704</v>
      </c>
    </row>
    <row r="61" spans="7:17" ht="15.75" thickBot="1" x14ac:dyDescent="0.3">
      <c r="G61" s="98" t="s">
        <v>152</v>
      </c>
      <c r="H61" s="99"/>
      <c r="I61" s="100" t="s">
        <v>224</v>
      </c>
      <c r="K61" s="3">
        <v>500</v>
      </c>
      <c r="M61" s="3">
        <v>0</v>
      </c>
      <c r="O61" s="138">
        <f t="shared" si="0"/>
        <v>0</v>
      </c>
      <c r="Q61" s="138">
        <f>SUM(O61+K61)</f>
        <v>500</v>
      </c>
    </row>
    <row r="62" spans="7:17" ht="16.5" thickTop="1" thickBot="1" x14ac:dyDescent="0.3">
      <c r="K62" s="3"/>
      <c r="M62" s="173">
        <f>SUM(M3:M61)</f>
        <v>14918.416666666672</v>
      </c>
      <c r="O62" s="3"/>
    </row>
    <row r="63" spans="7:17" ht="15.75" thickBot="1" x14ac:dyDescent="0.3">
      <c r="I63" s="10" t="s">
        <v>10</v>
      </c>
      <c r="K63" s="11">
        <f>SUM(K3:K61)</f>
        <v>29500</v>
      </c>
      <c r="M63" s="171"/>
      <c r="O63" s="11">
        <f>SUM(O3:O61)</f>
        <v>63645.601104061643</v>
      </c>
      <c r="Q63" s="11">
        <f>SUM(O63+K63)</f>
        <v>93145.601104061643</v>
      </c>
    </row>
    <row r="64" spans="7:17" x14ac:dyDescent="0.25">
      <c r="O64" t="s">
        <v>274</v>
      </c>
      <c r="Q64" t="s">
        <v>274</v>
      </c>
    </row>
  </sheetData>
  <pageMargins left="0.70000000000000007" right="0.70000000000000007" top="0.75" bottom="0.75" header="0.30000000000000004" footer="0.30000000000000004"/>
  <pageSetup paperSize="8" scale="7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4"/>
  <sheetViews>
    <sheetView workbookViewId="0">
      <selection activeCell="E22" sqref="E22"/>
    </sheetView>
  </sheetViews>
  <sheetFormatPr defaultRowHeight="15" x14ac:dyDescent="0.25"/>
  <cols>
    <col min="1" max="1" width="9.85546875" bestFit="1" customWidth="1"/>
    <col min="2" max="2" width="13.5703125" bestFit="1" customWidth="1"/>
    <col min="3" max="3" width="9.140625" customWidth="1"/>
    <col min="4" max="4" width="25.140625" bestFit="1" customWidth="1"/>
    <col min="5" max="5" width="6.140625" bestFit="1" customWidth="1"/>
    <col min="6" max="6" width="14.7109375" customWidth="1"/>
    <col min="7" max="7" width="8.28515625" bestFit="1" customWidth="1"/>
    <col min="8" max="8" width="11.28515625" bestFit="1" customWidth="1"/>
    <col min="9" max="9" width="43.85546875" bestFit="1" customWidth="1"/>
    <col min="10" max="10" width="9.140625" customWidth="1"/>
    <col min="11" max="11" width="13.140625" bestFit="1" customWidth="1"/>
    <col min="12" max="12" width="9.140625" customWidth="1"/>
    <col min="13" max="13" width="15.85546875" bestFit="1" customWidth="1"/>
    <col min="14" max="14" width="9.140625" customWidth="1"/>
    <col min="15" max="15" width="12.5703125" bestFit="1" customWidth="1"/>
    <col min="16" max="16" width="9.140625" customWidth="1"/>
    <col min="17" max="17" width="15.7109375" bestFit="1" customWidth="1"/>
    <col min="18" max="18" width="9.140625" customWidth="1"/>
  </cols>
  <sheetData>
    <row r="1" spans="1:17" ht="15.75" thickBot="1" x14ac:dyDescent="0.3"/>
    <row r="2" spans="1:17" ht="16.5" thickTop="1" thickBot="1" x14ac:dyDescent="0.3">
      <c r="B2" s="12" t="s">
        <v>11</v>
      </c>
      <c r="C2" s="13" t="s">
        <v>12</v>
      </c>
      <c r="D2" s="14" t="s">
        <v>13</v>
      </c>
      <c r="E2" s="15" t="s">
        <v>12</v>
      </c>
      <c r="G2" s="101" t="s">
        <v>14</v>
      </c>
      <c r="H2" s="102" t="s">
        <v>15</v>
      </c>
      <c r="I2" s="103" t="s">
        <v>16</v>
      </c>
      <c r="K2" s="19" t="s">
        <v>17</v>
      </c>
      <c r="M2" s="19" t="s">
        <v>251</v>
      </c>
      <c r="O2" s="19" t="s">
        <v>252</v>
      </c>
      <c r="Q2" s="19" t="s">
        <v>10</v>
      </c>
    </row>
    <row r="3" spans="1:17" x14ac:dyDescent="0.25">
      <c r="A3" s="2" t="s">
        <v>3</v>
      </c>
      <c r="B3" s="3">
        <v>3150</v>
      </c>
      <c r="C3" s="200">
        <v>3.01</v>
      </c>
      <c r="D3" s="21">
        <v>3150</v>
      </c>
      <c r="E3" s="22">
        <v>3.83</v>
      </c>
      <c r="G3" s="104" t="s">
        <v>225</v>
      </c>
      <c r="H3" s="31" t="s">
        <v>158</v>
      </c>
      <c r="I3" s="105" t="s">
        <v>226</v>
      </c>
      <c r="K3" s="3">
        <v>500</v>
      </c>
      <c r="M3" s="145">
        <v>0</v>
      </c>
      <c r="O3" s="3">
        <f>SUM(M3*$C$18)</f>
        <v>0</v>
      </c>
      <c r="Q3" s="3">
        <f>SUM(O3+K3)</f>
        <v>500</v>
      </c>
    </row>
    <row r="4" spans="1:17" x14ac:dyDescent="0.25">
      <c r="A4" s="4" t="s">
        <v>4</v>
      </c>
      <c r="B4" s="3">
        <v>5000</v>
      </c>
      <c r="C4" s="200">
        <v>4.78</v>
      </c>
      <c r="D4" s="21">
        <v>5000</v>
      </c>
      <c r="E4" s="22">
        <v>6.08</v>
      </c>
      <c r="G4" s="106" t="s">
        <v>225</v>
      </c>
      <c r="H4" s="28" t="s">
        <v>158</v>
      </c>
      <c r="I4" s="107" t="s">
        <v>227</v>
      </c>
      <c r="K4" s="3">
        <v>500</v>
      </c>
      <c r="M4" s="145">
        <v>0</v>
      </c>
      <c r="O4" s="3">
        <f t="shared" ref="O4:O18" si="0">SUM(M4*$C$18)</f>
        <v>0</v>
      </c>
      <c r="Q4" s="3">
        <f t="shared" ref="Q4:Q18" si="1">SUM(O4+K4)</f>
        <v>500</v>
      </c>
    </row>
    <row r="5" spans="1:17" x14ac:dyDescent="0.25">
      <c r="A5" s="5" t="s">
        <v>5</v>
      </c>
      <c r="B5" s="3">
        <v>22200</v>
      </c>
      <c r="C5" s="200">
        <v>21.2</v>
      </c>
      <c r="D5" s="21">
        <v>22200</v>
      </c>
      <c r="E5" s="22">
        <v>27.01</v>
      </c>
      <c r="G5" s="104" t="s">
        <v>104</v>
      </c>
      <c r="H5" s="31"/>
      <c r="I5" s="105" t="s">
        <v>228</v>
      </c>
      <c r="K5" s="3">
        <v>500</v>
      </c>
      <c r="M5" s="145">
        <v>0</v>
      </c>
      <c r="O5" s="3">
        <f t="shared" si="0"/>
        <v>0</v>
      </c>
      <c r="Q5" s="3">
        <f t="shared" si="1"/>
        <v>500</v>
      </c>
    </row>
    <row r="6" spans="1:17" x14ac:dyDescent="0.25">
      <c r="A6" s="6" t="s">
        <v>6</v>
      </c>
      <c r="B6" s="3">
        <v>38000</v>
      </c>
      <c r="C6" s="200">
        <v>36.29</v>
      </c>
      <c r="D6" s="21">
        <v>38000</v>
      </c>
      <c r="E6" s="22">
        <v>46.23</v>
      </c>
      <c r="G6" s="108" t="s">
        <v>225</v>
      </c>
      <c r="H6" s="109"/>
      <c r="I6" s="110" t="s">
        <v>229</v>
      </c>
      <c r="K6" s="3">
        <v>500</v>
      </c>
      <c r="M6" s="145">
        <v>0</v>
      </c>
      <c r="O6" s="3">
        <f t="shared" si="0"/>
        <v>0</v>
      </c>
      <c r="Q6" s="3">
        <f t="shared" si="1"/>
        <v>500</v>
      </c>
    </row>
    <row r="7" spans="1:17" ht="15.75" thickBot="1" x14ac:dyDescent="0.3">
      <c r="A7" s="7" t="s">
        <v>7</v>
      </c>
      <c r="B7" s="3">
        <v>13850</v>
      </c>
      <c r="C7" s="200">
        <v>13.23</v>
      </c>
      <c r="D7" s="33">
        <v>13850</v>
      </c>
      <c r="E7" s="34">
        <v>16.850000000000001</v>
      </c>
      <c r="G7" s="104" t="s">
        <v>225</v>
      </c>
      <c r="H7" s="31"/>
      <c r="I7" s="105" t="s">
        <v>230</v>
      </c>
      <c r="K7" s="3">
        <v>500</v>
      </c>
      <c r="M7" s="145">
        <v>0</v>
      </c>
      <c r="O7" s="3">
        <f t="shared" si="0"/>
        <v>0</v>
      </c>
      <c r="Q7" s="3">
        <f t="shared" si="1"/>
        <v>500</v>
      </c>
    </row>
    <row r="8" spans="1:17" ht="15.75" thickBot="1" x14ac:dyDescent="0.3">
      <c r="A8" s="35" t="s">
        <v>8</v>
      </c>
      <c r="B8" s="3">
        <v>22500</v>
      </c>
      <c r="C8" s="200">
        <v>21.49</v>
      </c>
      <c r="D8" s="3"/>
      <c r="G8" s="106" t="s">
        <v>225</v>
      </c>
      <c r="H8" s="28"/>
      <c r="I8" s="107" t="s">
        <v>231</v>
      </c>
      <c r="K8" s="3">
        <v>500</v>
      </c>
      <c r="M8" s="145">
        <v>498.3</v>
      </c>
      <c r="O8" s="3">
        <f t="shared" si="0"/>
        <v>794.7256784375993</v>
      </c>
      <c r="Q8" s="3">
        <f t="shared" si="1"/>
        <v>1294.7256784375993</v>
      </c>
    </row>
    <row r="9" spans="1:17" ht="15.75" thickBot="1" x14ac:dyDescent="0.3">
      <c r="G9" s="104" t="s">
        <v>225</v>
      </c>
      <c r="H9" s="31"/>
      <c r="I9" s="105" t="s">
        <v>232</v>
      </c>
      <c r="K9" s="3">
        <v>500</v>
      </c>
      <c r="M9" s="145">
        <v>461.7</v>
      </c>
      <c r="O9" s="3">
        <f t="shared" si="0"/>
        <v>736.35329266433791</v>
      </c>
      <c r="Q9" s="3">
        <f t="shared" si="1"/>
        <v>1236.3532926643379</v>
      </c>
    </row>
    <row r="10" spans="1:17" ht="15.75" thickBot="1" x14ac:dyDescent="0.3">
      <c r="A10" s="36" t="s">
        <v>27</v>
      </c>
      <c r="B10" s="11">
        <v>104700</v>
      </c>
      <c r="C10" s="37">
        <v>100</v>
      </c>
      <c r="D10" s="11">
        <v>82200</v>
      </c>
      <c r="E10" s="37">
        <v>100</v>
      </c>
      <c r="G10" s="106" t="s">
        <v>104</v>
      </c>
      <c r="H10" s="28"/>
      <c r="I10" s="107" t="s">
        <v>233</v>
      </c>
      <c r="K10" s="3">
        <v>500</v>
      </c>
      <c r="M10" s="145">
        <v>0</v>
      </c>
      <c r="O10" s="3">
        <f t="shared" si="0"/>
        <v>0</v>
      </c>
      <c r="Q10" s="3">
        <f t="shared" si="1"/>
        <v>500</v>
      </c>
    </row>
    <row r="11" spans="1:17" x14ac:dyDescent="0.25">
      <c r="G11" s="104" t="s">
        <v>225</v>
      </c>
      <c r="H11" s="31"/>
      <c r="I11" s="105" t="s">
        <v>234</v>
      </c>
      <c r="K11" s="3">
        <v>500</v>
      </c>
      <c r="M11" s="145">
        <v>836.66666666666663</v>
      </c>
      <c r="O11" s="3">
        <f t="shared" si="0"/>
        <v>1334.3778532867577</v>
      </c>
      <c r="Q11" s="3">
        <f t="shared" si="1"/>
        <v>1834.3778532867577</v>
      </c>
    </row>
    <row r="12" spans="1:17" ht="15.75" thickBot="1" x14ac:dyDescent="0.3">
      <c r="G12" s="106" t="s">
        <v>225</v>
      </c>
      <c r="H12" s="28"/>
      <c r="I12" s="107" t="s">
        <v>235</v>
      </c>
      <c r="K12" s="3">
        <v>500</v>
      </c>
      <c r="M12" s="145">
        <v>680</v>
      </c>
      <c r="O12" s="3">
        <f t="shared" si="0"/>
        <v>1084.5142711972055</v>
      </c>
      <c r="Q12" s="3">
        <f t="shared" si="1"/>
        <v>1584.5142711972055</v>
      </c>
    </row>
    <row r="13" spans="1:17" ht="15.75" thickBot="1" x14ac:dyDescent="0.3">
      <c r="A13" s="111" t="s">
        <v>4</v>
      </c>
      <c r="B13" s="11">
        <v>5000</v>
      </c>
      <c r="D13" s="11">
        <v>8370.43</v>
      </c>
      <c r="G13" s="112" t="s">
        <v>225</v>
      </c>
      <c r="H13" s="97"/>
      <c r="I13" s="113" t="s">
        <v>236</v>
      </c>
      <c r="K13" s="3">
        <v>500</v>
      </c>
      <c r="M13" s="145">
        <v>531.66666666666663</v>
      </c>
      <c r="O13" s="3">
        <f t="shared" si="0"/>
        <v>847.94130517624637</v>
      </c>
      <c r="Q13" s="3">
        <f t="shared" si="1"/>
        <v>1347.9413051762463</v>
      </c>
    </row>
    <row r="14" spans="1:17" x14ac:dyDescent="0.25">
      <c r="G14" s="106" t="s">
        <v>225</v>
      </c>
      <c r="H14" s="28"/>
      <c r="I14" s="107" t="s">
        <v>237</v>
      </c>
      <c r="K14" s="3">
        <v>500</v>
      </c>
      <c r="M14" s="145">
        <v>625</v>
      </c>
      <c r="O14" s="3">
        <f t="shared" si="0"/>
        <v>996.79620514449039</v>
      </c>
      <c r="Q14" s="3">
        <f t="shared" si="1"/>
        <v>1496.7962051444904</v>
      </c>
    </row>
    <row r="15" spans="1:17" x14ac:dyDescent="0.25">
      <c r="A15" t="s">
        <v>248</v>
      </c>
      <c r="G15" s="169" t="s">
        <v>225</v>
      </c>
      <c r="H15" s="31"/>
      <c r="I15" s="105" t="s">
        <v>238</v>
      </c>
      <c r="K15" s="3">
        <v>500</v>
      </c>
      <c r="M15" s="145">
        <v>861.66666666666663</v>
      </c>
      <c r="O15" s="3">
        <f t="shared" si="0"/>
        <v>1374.2497014925373</v>
      </c>
      <c r="Q15" s="3">
        <f t="shared" si="1"/>
        <v>1874.2497014925373</v>
      </c>
    </row>
    <row r="16" spans="1:17" x14ac:dyDescent="0.25">
      <c r="A16" t="s">
        <v>249</v>
      </c>
      <c r="G16" s="170" t="s">
        <v>225</v>
      </c>
      <c r="H16" s="28"/>
      <c r="I16" s="107" t="s">
        <v>239</v>
      </c>
      <c r="K16" s="3">
        <v>500</v>
      </c>
      <c r="M16" s="145">
        <v>753.33333333333337</v>
      </c>
      <c r="O16" s="3">
        <f t="shared" si="0"/>
        <v>1201.4716926008257</v>
      </c>
      <c r="Q16" s="3">
        <f t="shared" si="1"/>
        <v>1701.4716926008257</v>
      </c>
    </row>
    <row r="17" spans="1:17" x14ac:dyDescent="0.25">
      <c r="A17" t="s">
        <v>244</v>
      </c>
      <c r="C17" s="145">
        <v>5248.333333333333</v>
      </c>
      <c r="G17" s="169" t="s">
        <v>225</v>
      </c>
      <c r="H17" s="31"/>
      <c r="I17" s="105" t="s">
        <v>240</v>
      </c>
      <c r="K17" s="3">
        <v>500</v>
      </c>
      <c r="M17" s="145">
        <v>0</v>
      </c>
      <c r="O17" s="3">
        <f t="shared" si="0"/>
        <v>0</v>
      </c>
      <c r="Q17" s="3">
        <f t="shared" si="1"/>
        <v>500</v>
      </c>
    </row>
    <row r="18" spans="1:17" ht="15.75" thickBot="1" x14ac:dyDescent="0.3">
      <c r="A18" t="s">
        <v>250</v>
      </c>
      <c r="C18">
        <f>SUM(D13/C17)</f>
        <v>1.5948739282311846</v>
      </c>
      <c r="G18" s="170" t="s">
        <v>225</v>
      </c>
      <c r="H18" s="114"/>
      <c r="I18" s="115" t="s">
        <v>241</v>
      </c>
      <c r="K18" s="3">
        <v>500</v>
      </c>
      <c r="M18" s="145">
        <v>0</v>
      </c>
      <c r="O18" s="3">
        <f t="shared" si="0"/>
        <v>0</v>
      </c>
      <c r="Q18" s="3">
        <f t="shared" si="1"/>
        <v>500</v>
      </c>
    </row>
    <row r="19" spans="1:17" ht="16.5" thickTop="1" thickBot="1" x14ac:dyDescent="0.3">
      <c r="K19" s="3"/>
      <c r="M19" s="172">
        <f>SUM(M3:M18)</f>
        <v>5248.333333333333</v>
      </c>
    </row>
    <row r="20" spans="1:17" ht="15.75" thickBot="1" x14ac:dyDescent="0.3">
      <c r="I20" s="10" t="s">
        <v>10</v>
      </c>
      <c r="K20" s="11">
        <f>SUM(K3:K18)</f>
        <v>8000</v>
      </c>
      <c r="M20" s="171"/>
      <c r="O20" s="11">
        <f>SUM(O3:O18)</f>
        <v>8370.43</v>
      </c>
      <c r="Q20" s="11">
        <f>SUM(Q3:Q18)</f>
        <v>16370.43</v>
      </c>
    </row>
    <row r="34" spans="14:14" x14ac:dyDescent="0.25">
      <c r="N34" s="39"/>
    </row>
  </sheetData>
  <pageMargins left="0.70000000000000007" right="0.70000000000000007" top="0.75" bottom="0.75" header="0.30000000000000004" footer="0.30000000000000004"/>
  <pageSetup paperSize="8" scale="8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3"/>
  <sheetViews>
    <sheetView topLeftCell="A31" workbookViewId="0">
      <selection activeCell="A65" sqref="A65"/>
    </sheetView>
  </sheetViews>
  <sheetFormatPr defaultRowHeight="15" x14ac:dyDescent="0.25"/>
  <sheetData>
    <row r="1" spans="1:7" x14ac:dyDescent="0.25">
      <c r="A1" t="s">
        <v>247</v>
      </c>
      <c r="G1" s="145"/>
    </row>
    <row r="2" spans="1:7" ht="15.75" thickBot="1" x14ac:dyDescent="0.3">
      <c r="G2" s="145"/>
    </row>
    <row r="3" spans="1:7" ht="16.5" thickTop="1" thickBot="1" x14ac:dyDescent="0.3">
      <c r="A3" s="88" t="s">
        <v>14</v>
      </c>
      <c r="B3" s="89" t="s">
        <v>15</v>
      </c>
      <c r="C3" s="90" t="s">
        <v>16</v>
      </c>
      <c r="D3" s="90">
        <v>2017</v>
      </c>
      <c r="E3" s="90">
        <v>2018</v>
      </c>
      <c r="F3" s="90">
        <v>2019</v>
      </c>
      <c r="G3" s="149" t="s">
        <v>246</v>
      </c>
    </row>
    <row r="4" spans="1:7" x14ac:dyDescent="0.25">
      <c r="A4" s="143" t="s">
        <v>155</v>
      </c>
      <c r="B4" s="143" t="s">
        <v>153</v>
      </c>
      <c r="C4" s="143" t="s">
        <v>156</v>
      </c>
      <c r="D4" s="143">
        <f>697+44+3.5</f>
        <v>744.5</v>
      </c>
      <c r="E4" s="143">
        <f>696+47+2.75</f>
        <v>745.75</v>
      </c>
      <c r="F4" s="143">
        <f>805+48+3.5</f>
        <v>856.5</v>
      </c>
      <c r="G4" s="151">
        <f>AVERAGE(D4:F4)</f>
        <v>782.25</v>
      </c>
    </row>
    <row r="5" spans="1:7" x14ac:dyDescent="0.25">
      <c r="A5" s="143" t="s">
        <v>152</v>
      </c>
      <c r="B5" s="143" t="s">
        <v>158</v>
      </c>
      <c r="C5" s="143" t="s">
        <v>159</v>
      </c>
      <c r="D5" s="143"/>
      <c r="E5" s="143"/>
      <c r="F5" s="143"/>
      <c r="G5" s="151"/>
    </row>
    <row r="6" spans="1:7" x14ac:dyDescent="0.25">
      <c r="A6" s="140" t="s">
        <v>155</v>
      </c>
      <c r="B6" s="140" t="s">
        <v>158</v>
      </c>
      <c r="C6" s="140" t="s">
        <v>160</v>
      </c>
      <c r="D6" s="140"/>
      <c r="E6" s="140"/>
      <c r="F6" s="152"/>
      <c r="G6" s="150"/>
    </row>
    <row r="7" spans="1:7" x14ac:dyDescent="0.25">
      <c r="A7" s="143" t="s">
        <v>152</v>
      </c>
      <c r="B7" s="143" t="s">
        <v>158</v>
      </c>
      <c r="C7" s="143" t="s">
        <v>161</v>
      </c>
      <c r="D7" s="143"/>
      <c r="E7" s="143"/>
      <c r="F7" s="143"/>
      <c r="G7" s="151"/>
    </row>
    <row r="8" spans="1:7" x14ac:dyDescent="0.25">
      <c r="A8" s="140" t="s">
        <v>152</v>
      </c>
      <c r="B8" s="140" t="s">
        <v>158</v>
      </c>
      <c r="C8" s="140" t="s">
        <v>162</v>
      </c>
      <c r="D8" s="140">
        <f>316+0+0</f>
        <v>316</v>
      </c>
      <c r="E8" s="140">
        <f>278+0+0</f>
        <v>278</v>
      </c>
      <c r="F8" s="140">
        <f>321+0+0</f>
        <v>321</v>
      </c>
      <c r="G8" s="150">
        <f>AVERAGE(D8:F8)</f>
        <v>305</v>
      </c>
    </row>
    <row r="9" spans="1:7" x14ac:dyDescent="0.25">
      <c r="A9" s="143" t="s">
        <v>152</v>
      </c>
      <c r="B9" s="143" t="s">
        <v>158</v>
      </c>
      <c r="C9" s="143" t="s">
        <v>163</v>
      </c>
      <c r="D9" s="143"/>
      <c r="E9" s="143"/>
      <c r="F9" s="143"/>
      <c r="G9" s="151"/>
    </row>
    <row r="10" spans="1:7" x14ac:dyDescent="0.25">
      <c r="A10" s="140" t="s">
        <v>152</v>
      </c>
      <c r="B10" s="140" t="s">
        <v>164</v>
      </c>
      <c r="C10" s="140" t="s">
        <v>165</v>
      </c>
      <c r="D10" s="140"/>
      <c r="E10" s="140"/>
      <c r="F10" s="140"/>
      <c r="G10" s="150"/>
    </row>
    <row r="11" spans="1:7" x14ac:dyDescent="0.25">
      <c r="A11" s="143" t="s">
        <v>152</v>
      </c>
      <c r="B11" s="143" t="s">
        <v>164</v>
      </c>
      <c r="C11" s="143" t="s">
        <v>166</v>
      </c>
      <c r="D11" s="143"/>
      <c r="E11" s="143"/>
      <c r="F11" s="143"/>
      <c r="G11" s="151"/>
    </row>
    <row r="12" spans="1:7" x14ac:dyDescent="0.25">
      <c r="A12" s="140" t="s">
        <v>152</v>
      </c>
      <c r="B12" s="140" t="s">
        <v>176</v>
      </c>
      <c r="C12" s="140" t="s">
        <v>177</v>
      </c>
      <c r="D12" s="140"/>
      <c r="E12" s="140"/>
      <c r="F12" s="140"/>
      <c r="G12" s="150"/>
    </row>
    <row r="13" spans="1:7" x14ac:dyDescent="0.25">
      <c r="A13" s="140" t="s">
        <v>152</v>
      </c>
      <c r="B13" s="140" t="s">
        <v>167</v>
      </c>
      <c r="C13" s="140" t="s">
        <v>168</v>
      </c>
      <c r="D13" s="140">
        <f>211+27+0</f>
        <v>238</v>
      </c>
      <c r="E13" s="140">
        <f>198+0+24</f>
        <v>222</v>
      </c>
      <c r="F13" s="140">
        <f>198+0+25.5</f>
        <v>223.5</v>
      </c>
      <c r="G13" s="150">
        <f>AVERAGE(D13:F13)</f>
        <v>227.83333333333334</v>
      </c>
    </row>
    <row r="14" spans="1:7" x14ac:dyDescent="0.25">
      <c r="A14" s="143" t="s">
        <v>155</v>
      </c>
      <c r="B14" s="143" t="s">
        <v>167</v>
      </c>
      <c r="C14" s="143" t="s">
        <v>245</v>
      </c>
      <c r="D14" s="143">
        <f>237+12+36</f>
        <v>285</v>
      </c>
      <c r="E14" s="143">
        <f>323+12+36</f>
        <v>371</v>
      </c>
      <c r="F14" s="143">
        <f>307+12+34.5</f>
        <v>353.5</v>
      </c>
      <c r="G14" s="151">
        <f>AVERAGE(D14:F14)</f>
        <v>336.5</v>
      </c>
    </row>
    <row r="15" spans="1:7" x14ac:dyDescent="0.25">
      <c r="A15" s="140" t="s">
        <v>155</v>
      </c>
      <c r="B15" s="140" t="s">
        <v>167</v>
      </c>
      <c r="C15" s="140" t="s">
        <v>170</v>
      </c>
      <c r="D15" s="140">
        <f>226+0+20</f>
        <v>246</v>
      </c>
      <c r="E15" s="140">
        <v>0</v>
      </c>
      <c r="F15" s="140">
        <v>0</v>
      </c>
      <c r="G15" s="150">
        <f>AVERAGE(D15:F15)</f>
        <v>82</v>
      </c>
    </row>
    <row r="16" spans="1:7" x14ac:dyDescent="0.25">
      <c r="A16" s="143" t="s">
        <v>155</v>
      </c>
      <c r="B16" s="143" t="s">
        <v>167</v>
      </c>
      <c r="C16" s="143" t="s">
        <v>171</v>
      </c>
      <c r="D16" s="143"/>
      <c r="E16" s="143"/>
      <c r="F16" s="143"/>
      <c r="G16" s="151"/>
    </row>
    <row r="17" spans="1:7" x14ac:dyDescent="0.25">
      <c r="A17" s="140" t="s">
        <v>155</v>
      </c>
      <c r="B17" s="140" t="s">
        <v>167</v>
      </c>
      <c r="C17" s="140" t="s">
        <v>172</v>
      </c>
      <c r="D17" s="140">
        <f>334+27+5</f>
        <v>366</v>
      </c>
      <c r="E17" s="140">
        <f>323+27+5</f>
        <v>355</v>
      </c>
      <c r="F17" s="140">
        <f>274+27+5</f>
        <v>306</v>
      </c>
      <c r="G17" s="150">
        <f>AVERAGE(D17:F17)</f>
        <v>342.33333333333331</v>
      </c>
    </row>
    <row r="18" spans="1:7" x14ac:dyDescent="0.25">
      <c r="A18" s="143" t="s">
        <v>152</v>
      </c>
      <c r="B18" s="143" t="s">
        <v>167</v>
      </c>
      <c r="C18" s="143" t="s">
        <v>173</v>
      </c>
      <c r="D18" s="143">
        <f>160+24+10</f>
        <v>194</v>
      </c>
      <c r="E18" s="143">
        <f>180+10.5+14</f>
        <v>204.5</v>
      </c>
      <c r="F18" s="143">
        <f>240+14+0</f>
        <v>254</v>
      </c>
      <c r="G18" s="151">
        <f>AVERAGE(D18:F18)</f>
        <v>217.5</v>
      </c>
    </row>
    <row r="19" spans="1:7" x14ac:dyDescent="0.25">
      <c r="A19" s="140" t="s">
        <v>155</v>
      </c>
      <c r="B19" s="140" t="s">
        <v>167</v>
      </c>
      <c r="C19" s="140" t="s">
        <v>174</v>
      </c>
      <c r="D19" s="140">
        <f>359+48+42</f>
        <v>449</v>
      </c>
      <c r="E19" s="140">
        <f>368+30+39</f>
        <v>437</v>
      </c>
      <c r="F19" s="140">
        <f>349+72+51</f>
        <v>472</v>
      </c>
      <c r="G19" s="150">
        <f>AVERAGE(D19:F19)</f>
        <v>452.66666666666669</v>
      </c>
    </row>
    <row r="20" spans="1:7" x14ac:dyDescent="0.25">
      <c r="A20" s="143" t="s">
        <v>155</v>
      </c>
      <c r="B20" s="143" t="s">
        <v>167</v>
      </c>
      <c r="C20" s="143" t="s">
        <v>175</v>
      </c>
      <c r="D20" s="143"/>
      <c r="E20" s="143"/>
      <c r="F20" s="143"/>
      <c r="G20" s="151"/>
    </row>
    <row r="21" spans="1:7" x14ac:dyDescent="0.25">
      <c r="A21" s="143" t="s">
        <v>155</v>
      </c>
      <c r="B21" s="143" t="s">
        <v>178</v>
      </c>
      <c r="C21" s="143" t="s">
        <v>179</v>
      </c>
      <c r="D21" s="143"/>
      <c r="E21" s="143"/>
      <c r="F21" s="143"/>
      <c r="G21" s="151"/>
    </row>
    <row r="22" spans="1:7" x14ac:dyDescent="0.25">
      <c r="A22" s="140" t="s">
        <v>152</v>
      </c>
      <c r="B22" s="140" t="s">
        <v>178</v>
      </c>
      <c r="C22" s="140" t="s">
        <v>180</v>
      </c>
      <c r="D22" s="140"/>
      <c r="E22" s="140"/>
      <c r="F22" s="140"/>
      <c r="G22" s="150"/>
    </row>
    <row r="23" spans="1:7" x14ac:dyDescent="0.25">
      <c r="A23" s="143" t="s">
        <v>152</v>
      </c>
      <c r="B23" s="143" t="s">
        <v>178</v>
      </c>
      <c r="C23" s="143" t="s">
        <v>181</v>
      </c>
      <c r="D23" s="143">
        <f>705+34.5+128.75</f>
        <v>868.25</v>
      </c>
      <c r="E23" s="143">
        <f>711+16.5+103.5</f>
        <v>831</v>
      </c>
      <c r="F23" s="143">
        <f>666+19.5+116.25</f>
        <v>801.75</v>
      </c>
      <c r="G23" s="151">
        <f>AVERAGE(D23:F23)</f>
        <v>833.66666666666663</v>
      </c>
    </row>
    <row r="24" spans="1:7" x14ac:dyDescent="0.25">
      <c r="A24" s="140" t="s">
        <v>155</v>
      </c>
      <c r="B24" s="140" t="s">
        <v>178</v>
      </c>
      <c r="C24" s="140" t="s">
        <v>182</v>
      </c>
      <c r="D24" s="140"/>
      <c r="E24" s="140"/>
      <c r="F24" s="140"/>
      <c r="G24" s="150"/>
    </row>
    <row r="25" spans="1:7" x14ac:dyDescent="0.25">
      <c r="A25" s="143" t="s">
        <v>152</v>
      </c>
      <c r="B25" s="143" t="s">
        <v>178</v>
      </c>
      <c r="C25" s="143" t="s">
        <v>183</v>
      </c>
      <c r="D25" s="143">
        <f>239+11+0</f>
        <v>250</v>
      </c>
      <c r="E25" s="143">
        <f>310+21.5+0</f>
        <v>331.5</v>
      </c>
      <c r="F25" s="143">
        <v>0</v>
      </c>
      <c r="G25" s="151">
        <f>AVERAGE(D25:F25)</f>
        <v>193.83333333333334</v>
      </c>
    </row>
    <row r="26" spans="1:7" x14ac:dyDescent="0.25">
      <c r="A26" s="140" t="s">
        <v>152</v>
      </c>
      <c r="B26" s="140" t="s">
        <v>178</v>
      </c>
      <c r="C26" s="140" t="s">
        <v>184</v>
      </c>
      <c r="D26" s="140"/>
      <c r="E26" s="140"/>
      <c r="F26" s="140"/>
      <c r="G26" s="150"/>
    </row>
    <row r="27" spans="1:7" x14ac:dyDescent="0.25">
      <c r="A27" s="143" t="s">
        <v>152</v>
      </c>
      <c r="B27" s="143" t="s">
        <v>178</v>
      </c>
      <c r="C27" s="143" t="s">
        <v>185</v>
      </c>
      <c r="D27" s="143">
        <f>606+7+63.25</f>
        <v>676.25</v>
      </c>
      <c r="E27" s="143">
        <f>642+17.5+108</f>
        <v>767.5</v>
      </c>
      <c r="F27" s="143">
        <f>654+21+115</f>
        <v>790</v>
      </c>
      <c r="G27" s="151">
        <f t="shared" ref="G27:G35" si="0">AVERAGE(D27:F27)</f>
        <v>744.58333333333337</v>
      </c>
    </row>
    <row r="28" spans="1:7" x14ac:dyDescent="0.25">
      <c r="A28" s="140" t="s">
        <v>155</v>
      </c>
      <c r="B28" s="140" t="s">
        <v>178</v>
      </c>
      <c r="C28" s="140" t="s">
        <v>186</v>
      </c>
      <c r="D28" s="140">
        <f>345+7.5+12.75</f>
        <v>365.25</v>
      </c>
      <c r="E28" s="140">
        <f>472+16.5+1.5</f>
        <v>490</v>
      </c>
      <c r="F28" s="140">
        <f>508+36.75+7.5</f>
        <v>552.25</v>
      </c>
      <c r="G28" s="151">
        <f t="shared" si="0"/>
        <v>469.16666666666669</v>
      </c>
    </row>
    <row r="29" spans="1:7" x14ac:dyDescent="0.25">
      <c r="A29" s="143" t="s">
        <v>152</v>
      </c>
      <c r="B29" s="143" t="s">
        <v>178</v>
      </c>
      <c r="C29" s="143" t="s">
        <v>187</v>
      </c>
      <c r="D29" s="143">
        <f>413+8+24</f>
        <v>445</v>
      </c>
      <c r="E29" s="143">
        <f>461+32+31</f>
        <v>524</v>
      </c>
      <c r="F29" s="143">
        <f>482+34+41</f>
        <v>557</v>
      </c>
      <c r="G29" s="151">
        <f t="shared" si="0"/>
        <v>508.66666666666669</v>
      </c>
    </row>
    <row r="30" spans="1:7" x14ac:dyDescent="0.25">
      <c r="A30" s="140" t="s">
        <v>152</v>
      </c>
      <c r="B30" s="140" t="s">
        <v>178</v>
      </c>
      <c r="C30" s="140" t="s">
        <v>188</v>
      </c>
      <c r="D30" s="140">
        <f>1014+55.5+139.5</f>
        <v>1209</v>
      </c>
      <c r="E30" s="140">
        <f>1033+74.5+174</f>
        <v>1281.5</v>
      </c>
      <c r="F30" s="140">
        <f>1078+97.5+195.5</f>
        <v>1371</v>
      </c>
      <c r="G30" s="151">
        <f t="shared" si="0"/>
        <v>1287.1666666666667</v>
      </c>
    </row>
    <row r="31" spans="1:7" x14ac:dyDescent="0.25">
      <c r="A31" s="143" t="s">
        <v>152</v>
      </c>
      <c r="B31" s="143" t="s">
        <v>178</v>
      </c>
      <c r="C31" s="143" t="s">
        <v>189</v>
      </c>
      <c r="D31" s="143">
        <f>349+2+0</f>
        <v>351</v>
      </c>
      <c r="E31" s="143">
        <f>351+3+0</f>
        <v>354</v>
      </c>
      <c r="F31" s="143">
        <f>336+3+0</f>
        <v>339</v>
      </c>
      <c r="G31" s="151">
        <f t="shared" si="0"/>
        <v>348</v>
      </c>
    </row>
    <row r="32" spans="1:7" x14ac:dyDescent="0.25">
      <c r="A32" s="140" t="s">
        <v>152</v>
      </c>
      <c r="B32" s="140" t="s">
        <v>190</v>
      </c>
      <c r="C32" s="140" t="s">
        <v>191</v>
      </c>
      <c r="D32" s="140">
        <f>859+0+0</f>
        <v>859</v>
      </c>
      <c r="E32" s="140">
        <f>811+0+0</f>
        <v>811</v>
      </c>
      <c r="F32" s="140">
        <f>985+0+0</f>
        <v>985</v>
      </c>
      <c r="G32" s="151">
        <f t="shared" si="0"/>
        <v>885</v>
      </c>
    </row>
    <row r="33" spans="1:7" x14ac:dyDescent="0.25">
      <c r="A33" s="143" t="s">
        <v>152</v>
      </c>
      <c r="B33" s="143" t="s">
        <v>190</v>
      </c>
      <c r="C33" s="143" t="s">
        <v>192</v>
      </c>
      <c r="D33" s="143">
        <f>456+0+0</f>
        <v>456</v>
      </c>
      <c r="E33" s="143">
        <f>465+0+0</f>
        <v>465</v>
      </c>
      <c r="F33" s="143">
        <f>461+0+0</f>
        <v>461</v>
      </c>
      <c r="G33" s="151">
        <f t="shared" si="0"/>
        <v>460.66666666666669</v>
      </c>
    </row>
    <row r="34" spans="1:7" x14ac:dyDescent="0.25">
      <c r="A34" s="140" t="s">
        <v>152</v>
      </c>
      <c r="B34" s="140" t="s">
        <v>193</v>
      </c>
      <c r="C34" s="140" t="s">
        <v>194</v>
      </c>
      <c r="D34" s="140">
        <f>106+0+0</f>
        <v>106</v>
      </c>
      <c r="E34" s="140"/>
      <c r="F34" s="140"/>
      <c r="G34" s="151">
        <f t="shared" si="0"/>
        <v>106</v>
      </c>
    </row>
    <row r="35" spans="1:7" x14ac:dyDescent="0.25">
      <c r="A35" s="143" t="s">
        <v>152</v>
      </c>
      <c r="B35" s="143" t="s">
        <v>193</v>
      </c>
      <c r="C35" s="143" t="s">
        <v>195</v>
      </c>
      <c r="D35" s="143">
        <f>219+0+0</f>
        <v>219</v>
      </c>
      <c r="E35" s="143">
        <f>235+0+0</f>
        <v>235</v>
      </c>
      <c r="F35" s="143">
        <f>235+0+0</f>
        <v>235</v>
      </c>
      <c r="G35" s="151">
        <f t="shared" si="0"/>
        <v>229.66666666666666</v>
      </c>
    </row>
    <row r="36" spans="1:7" x14ac:dyDescent="0.25">
      <c r="A36" s="140" t="s">
        <v>155</v>
      </c>
      <c r="B36" s="140" t="s">
        <v>193</v>
      </c>
      <c r="C36" s="140" t="s">
        <v>196</v>
      </c>
      <c r="D36" s="140"/>
      <c r="E36" s="140"/>
      <c r="F36" s="140"/>
      <c r="G36" s="150"/>
    </row>
    <row r="37" spans="1:7" x14ac:dyDescent="0.25">
      <c r="A37" s="143" t="s">
        <v>152</v>
      </c>
      <c r="B37" s="143" t="s">
        <v>193</v>
      </c>
      <c r="C37" s="143" t="s">
        <v>197</v>
      </c>
      <c r="D37" s="143"/>
      <c r="E37" s="143"/>
      <c r="F37" s="143"/>
      <c r="G37" s="151"/>
    </row>
    <row r="38" spans="1:7" x14ac:dyDescent="0.25">
      <c r="A38" s="140" t="s">
        <v>152</v>
      </c>
      <c r="B38" s="140" t="s">
        <v>193</v>
      </c>
      <c r="C38" s="140" t="s">
        <v>198</v>
      </c>
      <c r="D38" s="140">
        <f>190+0+0</f>
        <v>190</v>
      </c>
      <c r="E38" s="140">
        <f>180+0+0</f>
        <v>180</v>
      </c>
      <c r="F38" s="140">
        <f>180+0+0</f>
        <v>180</v>
      </c>
      <c r="G38" s="150">
        <f>AVERAGE(D38:F38)</f>
        <v>183.33333333333334</v>
      </c>
    </row>
    <row r="39" spans="1:7" x14ac:dyDescent="0.25">
      <c r="A39" s="143" t="s">
        <v>155</v>
      </c>
      <c r="B39" s="143" t="s">
        <v>193</v>
      </c>
      <c r="C39" s="143" t="s">
        <v>199</v>
      </c>
      <c r="D39" s="143">
        <f>194+0+0</f>
        <v>194</v>
      </c>
      <c r="E39" s="143">
        <f>196+0+0</f>
        <v>196</v>
      </c>
      <c r="F39" s="143">
        <f>193+0+0</f>
        <v>193</v>
      </c>
      <c r="G39" s="151">
        <f>AVERAGE(D39:F39)</f>
        <v>194.33333333333334</v>
      </c>
    </row>
    <row r="40" spans="1:7" x14ac:dyDescent="0.25">
      <c r="A40" s="140" t="s">
        <v>152</v>
      </c>
      <c r="B40" s="140" t="s">
        <v>193</v>
      </c>
      <c r="C40" s="140" t="s">
        <v>200</v>
      </c>
      <c r="D40" s="140"/>
      <c r="E40" s="140"/>
      <c r="F40" s="140"/>
      <c r="G40" s="150"/>
    </row>
    <row r="41" spans="1:7" x14ac:dyDescent="0.25">
      <c r="A41" s="143" t="s">
        <v>152</v>
      </c>
      <c r="B41" s="143" t="s">
        <v>193</v>
      </c>
      <c r="C41" s="143" t="s">
        <v>201</v>
      </c>
      <c r="D41" s="143"/>
      <c r="E41" s="143"/>
      <c r="F41" s="143"/>
      <c r="G41" s="151"/>
    </row>
    <row r="42" spans="1:7" x14ac:dyDescent="0.25">
      <c r="A42" s="140" t="s">
        <v>152</v>
      </c>
      <c r="B42" s="140" t="s">
        <v>193</v>
      </c>
      <c r="C42" s="140" t="s">
        <v>202</v>
      </c>
      <c r="D42" s="140">
        <f>209+0+0</f>
        <v>209</v>
      </c>
      <c r="E42" s="140">
        <f>209+0+0</f>
        <v>209</v>
      </c>
      <c r="F42" s="140">
        <f>204+0+0</f>
        <v>204</v>
      </c>
      <c r="G42" s="150">
        <f>AVERAGE(D42:F42)</f>
        <v>207.33333333333334</v>
      </c>
    </row>
    <row r="43" spans="1:7" x14ac:dyDescent="0.25">
      <c r="A43" s="143" t="s">
        <v>155</v>
      </c>
      <c r="B43" s="143" t="s">
        <v>193</v>
      </c>
      <c r="C43" s="143" t="s">
        <v>203</v>
      </c>
      <c r="D43" s="143">
        <f>134+0+0</f>
        <v>134</v>
      </c>
      <c r="E43" s="143">
        <f>202+0+0</f>
        <v>202</v>
      </c>
      <c r="F43" s="143">
        <f>181+0+0</f>
        <v>181</v>
      </c>
      <c r="G43" s="151">
        <f>AVERAGE(D43:F43)</f>
        <v>172.33333333333334</v>
      </c>
    </row>
    <row r="44" spans="1:7" x14ac:dyDescent="0.25">
      <c r="A44" s="140" t="s">
        <v>152</v>
      </c>
      <c r="B44" s="140" t="s">
        <v>193</v>
      </c>
      <c r="C44" s="140" t="s">
        <v>204</v>
      </c>
      <c r="D44" s="140">
        <f>256+0+0</f>
        <v>256</v>
      </c>
      <c r="E44" s="140">
        <f>252+0+0</f>
        <v>252</v>
      </c>
      <c r="F44" s="140">
        <f>180+0+0</f>
        <v>180</v>
      </c>
      <c r="G44" s="150">
        <f>AVERAGE(D44:F44)</f>
        <v>229.33333333333334</v>
      </c>
    </row>
    <row r="45" spans="1:7" x14ac:dyDescent="0.25">
      <c r="A45" s="143" t="s">
        <v>152</v>
      </c>
      <c r="B45" s="143" t="s">
        <v>193</v>
      </c>
      <c r="C45" s="143" t="s">
        <v>205</v>
      </c>
      <c r="D45" s="143">
        <f>270+0+0</f>
        <v>270</v>
      </c>
      <c r="E45" s="143">
        <f>245+0+0</f>
        <v>245</v>
      </c>
      <c r="F45" s="143">
        <f>332+0+0</f>
        <v>332</v>
      </c>
      <c r="G45" s="151">
        <f>AVERAGE(D45:F45)</f>
        <v>282.33333333333331</v>
      </c>
    </row>
    <row r="46" spans="1:7" x14ac:dyDescent="0.25">
      <c r="A46" s="140" t="s">
        <v>152</v>
      </c>
      <c r="B46" s="140" t="s">
        <v>193</v>
      </c>
      <c r="C46" s="140" t="s">
        <v>206</v>
      </c>
      <c r="D46" s="140">
        <f>199+0+0</f>
        <v>199</v>
      </c>
      <c r="E46" s="140">
        <f>194+0+0</f>
        <v>194</v>
      </c>
      <c r="F46" s="140">
        <f>322+0+0</f>
        <v>322</v>
      </c>
      <c r="G46" s="150">
        <f>AVERAGE(D46:F46)</f>
        <v>238.33333333333334</v>
      </c>
    </row>
    <row r="47" spans="1:7" x14ac:dyDescent="0.25">
      <c r="A47" s="143" t="s">
        <v>152</v>
      </c>
      <c r="B47" s="143" t="s">
        <v>207</v>
      </c>
      <c r="C47" s="143" t="s">
        <v>208</v>
      </c>
      <c r="D47" s="143"/>
      <c r="E47" s="143"/>
      <c r="F47" s="143"/>
      <c r="G47" s="151"/>
    </row>
    <row r="48" spans="1:7" x14ac:dyDescent="0.25">
      <c r="A48" s="140" t="s">
        <v>152</v>
      </c>
      <c r="B48" s="140" t="s">
        <v>207</v>
      </c>
      <c r="C48" s="140" t="s">
        <v>209</v>
      </c>
      <c r="D48" s="140"/>
      <c r="E48" s="140"/>
      <c r="F48" s="140"/>
      <c r="G48" s="150"/>
    </row>
    <row r="49" spans="1:7" x14ac:dyDescent="0.25">
      <c r="A49" s="143" t="s">
        <v>155</v>
      </c>
      <c r="B49" s="143" t="s">
        <v>207</v>
      </c>
      <c r="C49" s="143" t="s">
        <v>210</v>
      </c>
      <c r="D49" s="143">
        <f>671+67+127.75</f>
        <v>865.75</v>
      </c>
      <c r="E49" s="143">
        <f>656+87+146.5</f>
        <v>889.5</v>
      </c>
      <c r="F49" s="143">
        <f>672+42+158</f>
        <v>872</v>
      </c>
      <c r="G49" s="151">
        <f>AVERAGE(D49:F49)</f>
        <v>875.75</v>
      </c>
    </row>
    <row r="50" spans="1:7" x14ac:dyDescent="0.25">
      <c r="A50" s="140" t="s">
        <v>152</v>
      </c>
      <c r="B50" s="140" t="s">
        <v>207</v>
      </c>
      <c r="C50" s="140" t="s">
        <v>211</v>
      </c>
      <c r="D50" s="140"/>
      <c r="E50" s="140"/>
      <c r="F50" s="140"/>
      <c r="G50" s="150"/>
    </row>
    <row r="51" spans="1:7" x14ac:dyDescent="0.25">
      <c r="A51" s="143" t="s">
        <v>155</v>
      </c>
      <c r="B51" s="143" t="s">
        <v>207</v>
      </c>
      <c r="C51" s="143" t="s">
        <v>212</v>
      </c>
      <c r="D51" s="143">
        <f>478+15+51</f>
        <v>544</v>
      </c>
      <c r="E51" s="143">
        <f>453+13.5+36</f>
        <v>502.5</v>
      </c>
      <c r="F51" s="143">
        <f>460+16+65.5</f>
        <v>541.5</v>
      </c>
      <c r="G51" s="151">
        <f>AVERAGE(D51:F51)</f>
        <v>529.33333333333337</v>
      </c>
    </row>
    <row r="52" spans="1:7" x14ac:dyDescent="0.25">
      <c r="A52" s="140" t="s">
        <v>152</v>
      </c>
      <c r="B52" s="140" t="s">
        <v>207</v>
      </c>
      <c r="C52" s="140" t="s">
        <v>213</v>
      </c>
      <c r="D52" s="140">
        <f>1128+32+314</f>
        <v>1474</v>
      </c>
      <c r="E52" s="140">
        <f>1112+30.5+329.5</f>
        <v>1472</v>
      </c>
      <c r="F52" s="140">
        <f>1126+38+388.5</f>
        <v>1552.5</v>
      </c>
      <c r="G52" s="150">
        <f>AVERAGE(D52:F52)</f>
        <v>1499.5</v>
      </c>
    </row>
    <row r="53" spans="1:7" x14ac:dyDescent="0.25">
      <c r="A53" s="143" t="s">
        <v>155</v>
      </c>
      <c r="B53" s="143" t="s">
        <v>207</v>
      </c>
      <c r="C53" s="143" t="s">
        <v>214</v>
      </c>
      <c r="D53" s="143">
        <f>388+60+40</f>
        <v>488</v>
      </c>
      <c r="E53" s="143">
        <f>468+58+58</f>
        <v>584</v>
      </c>
      <c r="F53" s="143">
        <f>439+58+43</f>
        <v>540</v>
      </c>
      <c r="G53" s="151">
        <f>AVERAGE(D53:F53)</f>
        <v>537.33333333333337</v>
      </c>
    </row>
    <row r="54" spans="1:7" x14ac:dyDescent="0.25">
      <c r="A54" s="140" t="s">
        <v>155</v>
      </c>
      <c r="B54" s="140" t="s">
        <v>207</v>
      </c>
      <c r="C54" s="140" t="s">
        <v>215</v>
      </c>
      <c r="D54" s="140"/>
      <c r="E54" s="140"/>
      <c r="F54" s="140"/>
      <c r="G54" s="150"/>
    </row>
    <row r="55" spans="1:7" x14ac:dyDescent="0.25">
      <c r="A55" s="143" t="s">
        <v>152</v>
      </c>
      <c r="B55" s="143" t="s">
        <v>216</v>
      </c>
      <c r="C55" s="143" t="s">
        <v>217</v>
      </c>
      <c r="D55" s="143">
        <f>349+43.75+0</f>
        <v>392.75</v>
      </c>
      <c r="E55" s="143">
        <f>316+40.5+0</f>
        <v>356.5</v>
      </c>
      <c r="F55" s="143">
        <f>330+94.5+0</f>
        <v>424.5</v>
      </c>
      <c r="G55" s="151">
        <f>AVERAGE(D55:F55)</f>
        <v>391.25</v>
      </c>
    </row>
    <row r="56" spans="1:7" x14ac:dyDescent="0.25">
      <c r="A56" s="140" t="s">
        <v>155</v>
      </c>
      <c r="B56" s="140" t="s">
        <v>216</v>
      </c>
      <c r="C56" s="140" t="s">
        <v>218</v>
      </c>
      <c r="D56" s="140"/>
      <c r="E56" s="140"/>
      <c r="F56" s="140"/>
      <c r="G56" s="150"/>
    </row>
    <row r="57" spans="1:7" x14ac:dyDescent="0.25">
      <c r="A57" s="143" t="s">
        <v>152</v>
      </c>
      <c r="B57" s="143"/>
      <c r="C57" s="143" t="s">
        <v>219</v>
      </c>
      <c r="D57" s="143">
        <f>324+0+0</f>
        <v>324</v>
      </c>
      <c r="E57" s="143">
        <f>330+0+0</f>
        <v>330</v>
      </c>
      <c r="F57" s="143">
        <f>336+0+0</f>
        <v>336</v>
      </c>
      <c r="G57" s="151">
        <f>AVERAGE(D57:F57)</f>
        <v>330</v>
      </c>
    </row>
    <row r="58" spans="1:7" x14ac:dyDescent="0.25">
      <c r="A58" s="140" t="s">
        <v>155</v>
      </c>
      <c r="B58" s="140"/>
      <c r="C58" s="140" t="s">
        <v>220</v>
      </c>
      <c r="D58" s="140"/>
      <c r="E58" s="140"/>
      <c r="F58" s="140"/>
      <c r="G58" s="150"/>
    </row>
    <row r="59" spans="1:7" x14ac:dyDescent="0.25">
      <c r="A59" s="143" t="s">
        <v>152</v>
      </c>
      <c r="B59" s="143"/>
      <c r="C59" s="143" t="s">
        <v>221</v>
      </c>
      <c r="D59" s="143">
        <v>0</v>
      </c>
      <c r="E59" s="143">
        <f>37+3</f>
        <v>40</v>
      </c>
      <c r="F59" s="143">
        <f>121+0+0</f>
        <v>121</v>
      </c>
      <c r="G59" s="151">
        <f>AVERAGE(D59:F59)</f>
        <v>53.666666666666664</v>
      </c>
    </row>
    <row r="60" spans="1:7" x14ac:dyDescent="0.25">
      <c r="A60" s="140" t="s">
        <v>155</v>
      </c>
      <c r="B60" s="140"/>
      <c r="C60" s="140" t="s">
        <v>222</v>
      </c>
      <c r="D60" s="140"/>
      <c r="E60" s="140"/>
      <c r="F60" s="140"/>
      <c r="G60" s="150"/>
    </row>
    <row r="61" spans="1:7" x14ac:dyDescent="0.25">
      <c r="A61" s="143" t="s">
        <v>155</v>
      </c>
      <c r="B61" s="143"/>
      <c r="C61" s="143" t="s">
        <v>223</v>
      </c>
      <c r="D61" s="143">
        <f>248+18+59</f>
        <v>325</v>
      </c>
      <c r="E61" s="143">
        <f>328+32+39.75</f>
        <v>399.75</v>
      </c>
      <c r="F61" s="143">
        <f>327+36+57.5</f>
        <v>420.5</v>
      </c>
      <c r="G61" s="151">
        <f>AVERAGE(D61:F61)</f>
        <v>381.75</v>
      </c>
    </row>
    <row r="62" spans="1:7" ht="15.75" thickBot="1" x14ac:dyDescent="0.3">
      <c r="A62" s="153" t="s">
        <v>152</v>
      </c>
      <c r="B62" s="153"/>
      <c r="C62" s="153" t="s">
        <v>224</v>
      </c>
      <c r="D62" s="153"/>
      <c r="E62" s="153"/>
      <c r="F62" s="153"/>
      <c r="G62" s="154"/>
    </row>
    <row r="63" spans="1:7" ht="15.75" thickTop="1" x14ac:dyDescent="0.25">
      <c r="G63" s="167">
        <f>SUM(G4:G61)</f>
        <v>14918.416666666672</v>
      </c>
    </row>
  </sheetData>
  <pageMargins left="0.7" right="0.7" top="0.75" bottom="0.75" header="0.3" footer="0.3"/>
  <pageSetup paperSize="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12</vt:i4>
      </vt:variant>
    </vt:vector>
  </HeadingPairs>
  <TitlesOfParts>
    <vt:vector size="12" baseType="lpstr">
      <vt:lpstr>TOTAAL</vt:lpstr>
      <vt:lpstr>CULTUUR_</vt:lpstr>
      <vt:lpstr>JEUGD</vt:lpstr>
      <vt:lpstr>MILIEU</vt:lpstr>
      <vt:lpstr>ONTWIKKELINGSSAMENWERKING</vt:lpstr>
      <vt:lpstr>SENIOREN</vt:lpstr>
      <vt:lpstr>SPORT_</vt:lpstr>
      <vt:lpstr>WELZIJN</vt:lpstr>
      <vt:lpstr>punten sport</vt:lpstr>
      <vt:lpstr>punten welzijn en senioren</vt:lpstr>
      <vt:lpstr>punten cultuur</vt:lpstr>
      <vt:lpstr>punten jeugd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Stalmans2</dc:creator>
  <cp:lastModifiedBy>Liesbeth Tielens</cp:lastModifiedBy>
  <cp:lastPrinted>2020-11-18T08:45:18Z</cp:lastPrinted>
  <dcterms:created xsi:type="dcterms:W3CDTF">2020-08-25T12:31:48Z</dcterms:created>
  <dcterms:modified xsi:type="dcterms:W3CDTF">2020-11-18T09:02:59Z</dcterms:modified>
</cp:coreProperties>
</file>